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3"/>
  </bookViews>
  <sheets>
    <sheet name="Registru 2018" sheetId="1" state="hidden" r:id="rId1"/>
    <sheet name="Registru 2022" sheetId="2" r:id="rId2"/>
    <sheet name="Registru 2023" sheetId="3" r:id="rId3"/>
    <sheet name="Rep-A" sheetId="4" r:id="rId4"/>
    <sheet name="Rep-A1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<sst xmlns="http://schemas.openxmlformats.org/spreadsheetml/2006/main" count="239" uniqueCount="147">
  <si>
    <t>la Regulamentul cu privire la modul de evidenţă</t>
  </si>
  <si>
    <t>şi calculare a uzurii mijloacelor fixe în scopul impozitării</t>
  </si>
  <si>
    <t>nr.5 din 29 ianuarie 2001</t>
  </si>
  <si>
    <t>Unitatea (întreprinderea)</t>
  </si>
  <si>
    <t>Certificat de înregistrare</t>
  </si>
  <si>
    <t>Adresa</t>
  </si>
  <si>
    <t>Cod fiscal</t>
  </si>
  <si>
    <t>(în lei)</t>
  </si>
  <si>
    <t>Nr.  d/o</t>
  </si>
  <si>
    <t>A</t>
  </si>
  <si>
    <t>20 (14+15+ 16+17+ 18+19)</t>
  </si>
  <si>
    <t>1-5% Clădiri Construcţii Instalaţii de transmisie</t>
  </si>
  <si>
    <t>Total I</t>
  </si>
  <si>
    <t>II - 8%</t>
  </si>
  <si>
    <t>III – 12,5%</t>
  </si>
  <si>
    <t>IV - 20%</t>
  </si>
  <si>
    <t>V - 30%</t>
  </si>
  <si>
    <t>TOTAL</t>
  </si>
  <si>
    <t>Conducătorul întreprinderii</t>
  </si>
  <si>
    <t>Contabil-şef ________________</t>
  </si>
  <si>
    <t>Alfa SRL</t>
  </si>
  <si>
    <t>mun. Chişinău</t>
  </si>
  <si>
    <t>8 (3+4+5+6+7)</t>
  </si>
  <si>
    <t>13 (9-10-11+12)</t>
  </si>
  <si>
    <t>21 (2+8+13 -20)</t>
  </si>
  <si>
    <t>22 (21x1)</t>
  </si>
  <si>
    <t>23 (21-22)</t>
  </si>
  <si>
    <t>ИТОГО</t>
  </si>
  <si>
    <t>Ведомость учета основных средств</t>
  </si>
  <si>
    <t>по категориям собственности и износа в целях налогообложения</t>
  </si>
  <si>
    <r>
      <t xml:space="preserve"> за налоговый период </t>
    </r>
    <r>
      <rPr>
        <b/>
        <u val="single"/>
        <sz val="10"/>
        <rFont val="Arial"/>
        <family val="2"/>
      </rPr>
      <t xml:space="preserve"> A / 2018</t>
    </r>
  </si>
  <si>
    <t>Категория собственности и 
норма износа</t>
  </si>
  <si>
    <t>Стоимостный базис основных 
средств на начало отчетного 
перио-да (Bi)</t>
  </si>
  <si>
    <t>Сумма поступления (Sintr.)</t>
  </si>
  <si>
    <t>Стоимостный базис основных 
средств на конец отчетного 
периода (Bf)</t>
  </si>
  <si>
    <t>Начисленный износ</t>
  </si>
  <si>
    <t>Стоимостный базис основных 
средств на начало следующего 
отчетного периода</t>
  </si>
  <si>
    <t>Приобретенные основные 
средства</t>
  </si>
  <si>
    <t>Основные средства, соз
-
данные своими силами</t>
  </si>
  <si>
    <t>Замена после вынужден
-
ной утраты</t>
  </si>
  <si>
    <t>Расконсервация</t>
  </si>
  <si>
    <t>Другие поступления</t>
  </si>
  <si>
    <t>Итого</t>
  </si>
  <si>
    <t>Сумма налога на добавлен
-
ную стоимость (Stva)</t>
  </si>
  <si>
    <t>Сумма предполагаемой 
остаточности стоимости 
основных средств при их 
списании в бухгалтерском 
учете в связи с полным из
-
носом (Svr)</t>
  </si>
  <si>
    <t>Другие корректировки</t>
  </si>
  <si>
    <t>Реализация</t>
  </si>
  <si>
    <t>Дарение или безвозмезд
-
ная передача</t>
  </si>
  <si>
    <t>Вынужденная утрата</t>
  </si>
  <si>
    <t>Консервация</t>
  </si>
  <si>
    <t>Другие выбытия</t>
  </si>
  <si>
    <t>Списание</t>
  </si>
  <si>
    <t>Сумма корректировок (Sc)</t>
  </si>
  <si>
    <t>Сумма выбытий (Sieşir.)</t>
  </si>
  <si>
    <t>Произв.цех</t>
  </si>
  <si>
    <t>Сумма превышения лимита 
расходов на ремонт (Sd)</t>
  </si>
  <si>
    <t>ПРИЛОЖЕНИЕ 1</t>
  </si>
  <si>
    <t>01</t>
  </si>
  <si>
    <t>03</t>
  </si>
  <si>
    <t>06</t>
  </si>
  <si>
    <t>07</t>
  </si>
  <si>
    <t>11</t>
  </si>
  <si>
    <t>04</t>
  </si>
  <si>
    <t>4 (3х%)</t>
  </si>
  <si>
    <t>7 (5-6)</t>
  </si>
  <si>
    <t>05</t>
  </si>
  <si>
    <t>08</t>
  </si>
  <si>
    <t>списание</t>
  </si>
  <si>
    <t xml:space="preserve">                       Поступления</t>
  </si>
  <si>
    <t xml:space="preserve">                      Инвестиции, признанные согласно ст. 26/1 ч. (3) НК</t>
  </si>
  <si>
    <t>1</t>
  </si>
  <si>
    <t>До ремонта</t>
  </si>
  <si>
    <t>После ремонта/развития</t>
  </si>
  <si>
    <t>Всего</t>
  </si>
  <si>
    <t>Основные показатели на следующий налоговый период</t>
  </si>
  <si>
    <t>Инвентарный номер</t>
  </si>
  <si>
    <t>Названиие</t>
  </si>
  <si>
    <t>Амортизационная стоимость</t>
  </si>
  <si>
    <t>Начальная стоимость/капитализированная начальная стоимость</t>
  </si>
  <si>
    <t>Срок полезного функционирования, установленный предприятием</t>
  </si>
  <si>
    <t>Срок полезного функционирования, использованный для начисления амортизации</t>
  </si>
  <si>
    <t>Сумма накопленной амортизации до конца предыдущего налогового периода</t>
  </si>
  <si>
    <t>Использованный срок полезного функционирования (месяцы) с момента эксплуатации до конца предыдущего налогового периода</t>
  </si>
  <si>
    <t>Норма амортизации на начало налогового периода</t>
  </si>
  <si>
    <t>Месяц, с которого должна быть начислена амортизация</t>
  </si>
  <si>
    <t>Срок эксплуатации на предприятии в течение налогового периода (месяцы)</t>
  </si>
  <si>
    <t>Сумма начисленной амортизации</t>
  </si>
  <si>
    <t>Сумма капитализированных расходов на ремонт</t>
  </si>
  <si>
    <t>Установленный срок полезного функционирования после ремонта</t>
  </si>
  <si>
    <t>Сумма накопленной амортизации до ремонта</t>
  </si>
  <si>
    <t>Использованный срок полезного функционирования</t>
  </si>
  <si>
    <t>Скорректированная начальная стоимость</t>
  </si>
  <si>
    <t>Оставшийся срок полезного функционирования</t>
  </si>
  <si>
    <t>Норма амортизации</t>
  </si>
  <si>
    <t>Срок эксплуатации в течение налогового периода (месяцы)</t>
  </si>
  <si>
    <t>Сумма годовой амортизации</t>
  </si>
  <si>
    <t>Сумма накопленной амортизации до конца налогового периода</t>
  </si>
  <si>
    <t>Использованный срок полезного функционирования (месяцы) с момента эксплуатации до конца налогового периода</t>
  </si>
  <si>
    <t>Реестр учета и начисления амортизации основных средств в целях налогообложения для налогового периода A/2022</t>
  </si>
  <si>
    <t>Производственный цех</t>
  </si>
  <si>
    <t>Асфальтовое покрытие территория офиса</t>
  </si>
  <si>
    <t>Поддерживающие и защитные сооружения  бетонные (галереи)</t>
  </si>
  <si>
    <t>Трубопровод чугунный</t>
  </si>
  <si>
    <t>склад 1 (инвестиции, наем)</t>
  </si>
  <si>
    <t>Телефон iPhone 5S 16 GB</t>
  </si>
  <si>
    <t>Легковой автомобиль Audi</t>
  </si>
  <si>
    <t>Погрузчик Komatsu FG18T 619530</t>
  </si>
  <si>
    <t>Станок полировочный SMR-1,05 CB 15863</t>
  </si>
  <si>
    <t>Станок по фасонной обработке камня MAKITA (инвестиции, наем)</t>
  </si>
  <si>
    <t>трактор, управляемый рядом идущим водителем (из консервации)</t>
  </si>
  <si>
    <t>Некапитальное строение типа киоск (инвестиции, наем)</t>
  </si>
  <si>
    <t>Комбинированный холодильник-морозильник с раздельными наружными дверьми (инвестиции, наем)</t>
  </si>
  <si>
    <t>Отбойный молоток электрический MAKITA</t>
  </si>
  <si>
    <t>Вращающийся молоток MAKITA</t>
  </si>
  <si>
    <t>Грузовой автомобиль КАМАЗ</t>
  </si>
  <si>
    <t>Компьютер</t>
  </si>
  <si>
    <t>покрытия платформ битумным макадамом</t>
  </si>
  <si>
    <t>Дорожный трактор для полуприцепа</t>
  </si>
  <si>
    <t>многолетний ореховый сад</t>
  </si>
  <si>
    <t>Здание офиса</t>
  </si>
  <si>
    <t>склад 2 (инвестиции, наем)</t>
  </si>
  <si>
    <t>Приложение 2</t>
  </si>
  <si>
    <t>Определение суммы расходов на ремонт, разрешенных к вычету, а также стоимости основного средства которое должно быть признано в соответствии со ст. 26/1 ч. (3) НК за налоговый период 2021 г.</t>
  </si>
  <si>
    <t>№</t>
  </si>
  <si>
    <t>Наименование основного средства полученного в наем (аренду)</t>
  </si>
  <si>
    <t>Сумма расходов (без НДС) по наиму (аренде), понесенная в течении налогового периода</t>
  </si>
  <si>
    <r>
      <t>Сумма лимита согласно ст.26</t>
    </r>
    <r>
      <rPr>
        <b/>
        <vertAlign val="super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ч.(11) НК</t>
    </r>
  </si>
  <si>
    <t>Сумма расходов на ремонт основных средств, полученных в наем (аренду)</t>
  </si>
  <si>
    <t>Сумма расходов на ремонт основных средств разрешенных к вычету сумма из рубрики 5, но не более чем сумма, указанная в рубрике 4)</t>
  </si>
  <si>
    <r>
      <t>Стоимость основного средства признанного в соответствии ст.26</t>
    </r>
    <r>
      <rPr>
        <b/>
        <vertAlign val="super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ч.(3) НК</t>
    </r>
  </si>
  <si>
    <t>Коментарии</t>
  </si>
  <si>
    <t>Месяц признания расходов на ремонт</t>
  </si>
  <si>
    <t>Сумма расходов (без НДС) по найму (аренде), понесенная в течении налогового периода</t>
  </si>
  <si>
    <t>Склад 2</t>
  </si>
  <si>
    <t>Автомобиль Renault</t>
  </si>
  <si>
    <t>Срок договора &lt;12 месяцев. Вычитается согласно п. 28 ПП 704/2019</t>
  </si>
  <si>
    <t>Комбинированный холодильник-морозильник с раздельными наружными дверьми</t>
  </si>
  <si>
    <t>июнь</t>
  </si>
  <si>
    <t>август</t>
  </si>
  <si>
    <t>февраль</t>
  </si>
  <si>
    <t>апрель</t>
  </si>
  <si>
    <t>октябрь</t>
  </si>
  <si>
    <t>Итого Холодильник</t>
  </si>
  <si>
    <t>Приложение 2 (расшифровка)</t>
  </si>
  <si>
    <t>Недоамортизированная стоимость</t>
  </si>
  <si>
    <t>продажа</t>
  </si>
  <si>
    <t>Определение суммы расходов на ремонт, разрешенных к вычету, а также стоимости основного средства которое должно быть признано в соответствии со ст. 26/1 ч. (3) НК за налоговый период 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</si>
</sst>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\-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9"/>
      <name val="Times New Roman"/>
      <family val="1"/>
    </font>
    <font>
      <sz val="7.5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i/>
      <sz val="9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6"/>
      <color indexed="10"/>
      <name val="Times New Roman"/>
      <family val="1"/>
    </font>
    <font>
      <i/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6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Calibri"/>
      <family val="2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sz val="6"/>
      <color rgb="FFFF0000"/>
      <name val="Times New Roman"/>
      <family val="1"/>
    </font>
    <font>
      <b/>
      <sz val="10"/>
      <color rgb="FF000000"/>
      <name val="Times New Roman"/>
      <family val="1"/>
    </font>
    <font>
      <i/>
      <sz val="8"/>
      <color rgb="FF000000"/>
      <name val="Times New Roman"/>
      <family val="1"/>
    </font>
    <font>
      <sz val="8.5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8.5"/>
      <color theme="1"/>
      <name val="Times New Roman"/>
      <family val="1"/>
    </font>
    <font>
      <i/>
      <sz val="10"/>
      <color theme="1"/>
      <name val="Times New Roman"/>
      <family val="1"/>
    </font>
    <font>
      <i/>
      <sz val="8.5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5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left" vertical="center" wrapText="1"/>
    </xf>
    <xf numFmtId="3" fontId="75" fillId="0" borderId="10" xfId="0" applyNumberFormat="1" applyFont="1" applyBorder="1" applyAlignment="1">
      <alignment horizontal="center"/>
    </xf>
    <xf numFmtId="3" fontId="78" fillId="0" borderId="10" xfId="0" applyNumberFormat="1" applyFont="1" applyBorder="1" applyAlignment="1">
      <alignment horizontal="center"/>
    </xf>
    <xf numFmtId="0" fontId="8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2" fillId="0" borderId="10" xfId="0" applyFont="1" applyBorder="1" applyAlignment="1">
      <alignment vertical="center"/>
    </xf>
    <xf numFmtId="0" fontId="82" fillId="33" borderId="10" xfId="0" applyFont="1" applyFill="1" applyBorder="1" applyAlignment="1">
      <alignment vertical="center" wrapText="1"/>
    </xf>
    <xf numFmtId="0" fontId="83" fillId="0" borderId="0" xfId="0" applyFont="1" applyAlignment="1">
      <alignment horizontal="right"/>
    </xf>
    <xf numFmtId="0" fontId="84" fillId="33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vertical="center"/>
    </xf>
    <xf numFmtId="3" fontId="85" fillId="33" borderId="10" xfId="0" applyNumberFormat="1" applyFont="1" applyFill="1" applyBorder="1" applyAlignment="1">
      <alignment horizontal="right" vertical="center"/>
    </xf>
    <xf numFmtId="0" fontId="84" fillId="33" borderId="10" xfId="0" applyFont="1" applyFill="1" applyBorder="1" applyAlignment="1">
      <alignment vertical="center" wrapText="1"/>
    </xf>
    <xf numFmtId="49" fontId="85" fillId="33" borderId="10" xfId="0" applyNumberFormat="1" applyFont="1" applyFill="1" applyBorder="1" applyAlignment="1">
      <alignment horizontal="right" vertical="center"/>
    </xf>
    <xf numFmtId="49" fontId="86" fillId="33" borderId="10" xfId="0" applyNumberFormat="1" applyFont="1" applyFill="1" applyBorder="1" applyAlignment="1">
      <alignment horizontal="right" vertical="center"/>
    </xf>
    <xf numFmtId="0" fontId="87" fillId="0" borderId="10" xfId="0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75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8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90" fillId="0" borderId="0" xfId="0" applyFont="1" applyAlignment="1">
      <alignment/>
    </xf>
    <xf numFmtId="2" fontId="85" fillId="33" borderId="10" xfId="0" applyNumberFormat="1" applyFont="1" applyFill="1" applyBorder="1" applyAlignment="1">
      <alignment horizontal="right" vertical="center"/>
    </xf>
    <xf numFmtId="1" fontId="85" fillId="33" borderId="10" xfId="0" applyNumberFormat="1" applyFont="1" applyFill="1" applyBorder="1" applyAlignment="1">
      <alignment horizontal="right" vertical="center"/>
    </xf>
    <xf numFmtId="3" fontId="85" fillId="33" borderId="10" xfId="0" applyNumberFormat="1" applyFont="1" applyFill="1" applyBorder="1" applyAlignment="1">
      <alignment vertical="center"/>
    </xf>
    <xf numFmtId="1" fontId="85" fillId="33" borderId="10" xfId="0" applyNumberFormat="1" applyFont="1" applyFill="1" applyBorder="1" applyAlignment="1">
      <alignment vertical="center"/>
    </xf>
    <xf numFmtId="3" fontId="84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0" fontId="78" fillId="0" borderId="10" xfId="0" applyFont="1" applyBorder="1" applyAlignment="1">
      <alignment vertical="top" wrapText="1"/>
    </xf>
    <xf numFmtId="0" fontId="85" fillId="33" borderId="12" xfId="0" applyFont="1" applyFill="1" applyBorder="1" applyAlignment="1">
      <alignment horizontal="center" vertical="center"/>
    </xf>
    <xf numFmtId="0" fontId="82" fillId="0" borderId="12" xfId="0" applyFont="1" applyBorder="1" applyAlignment="1">
      <alignment horizontal="left" vertical="center" wrapText="1"/>
    </xf>
    <xf numFmtId="3" fontId="85" fillId="33" borderId="12" xfId="0" applyNumberFormat="1" applyFont="1" applyFill="1" applyBorder="1" applyAlignment="1">
      <alignment horizontal="right" vertical="center"/>
    </xf>
    <xf numFmtId="0" fontId="85" fillId="33" borderId="12" xfId="0" applyFont="1" applyFill="1" applyBorder="1" applyAlignment="1">
      <alignment horizontal="right" vertical="center"/>
    </xf>
    <xf numFmtId="2" fontId="85" fillId="33" borderId="12" xfId="0" applyNumberFormat="1" applyFont="1" applyFill="1" applyBorder="1" applyAlignment="1">
      <alignment horizontal="right" vertical="center"/>
    </xf>
    <xf numFmtId="2" fontId="85" fillId="33" borderId="10" xfId="0" applyNumberFormat="1" applyFont="1" applyFill="1" applyBorder="1" applyAlignment="1">
      <alignment vertical="center"/>
    </xf>
    <xf numFmtId="0" fontId="85" fillId="34" borderId="10" xfId="0" applyFont="1" applyFill="1" applyBorder="1" applyAlignment="1">
      <alignment horizontal="right" vertical="center"/>
    </xf>
    <xf numFmtId="0" fontId="85" fillId="34" borderId="12" xfId="0" applyFont="1" applyFill="1" applyBorder="1" applyAlignment="1">
      <alignment horizontal="right" vertical="center"/>
    </xf>
    <xf numFmtId="0" fontId="80" fillId="0" borderId="12" xfId="0" applyFont="1" applyBorder="1" applyAlignment="1">
      <alignment horizontal="center" vertical="center" wrapText="1"/>
    </xf>
    <xf numFmtId="3" fontId="85" fillId="33" borderId="12" xfId="0" applyNumberFormat="1" applyFont="1" applyFill="1" applyBorder="1" applyAlignment="1">
      <alignment horizontal="center" vertical="center"/>
    </xf>
    <xf numFmtId="3" fontId="75" fillId="0" borderId="10" xfId="0" applyNumberFormat="1" applyFont="1" applyBorder="1" applyAlignment="1">
      <alignment vertical="top" wrapText="1"/>
    </xf>
    <xf numFmtId="3" fontId="91" fillId="0" borderId="10" xfId="0" applyNumberFormat="1" applyFont="1" applyBorder="1" applyAlignment="1">
      <alignment vertical="top" wrapText="1"/>
    </xf>
    <xf numFmtId="3" fontId="78" fillId="0" borderId="10" xfId="0" applyNumberFormat="1" applyFont="1" applyBorder="1" applyAlignment="1">
      <alignment/>
    </xf>
    <xf numFmtId="0" fontId="85" fillId="33" borderId="10" xfId="0" applyFont="1" applyFill="1" applyBorder="1" applyAlignment="1">
      <alignment horizontal="right" vertical="center"/>
    </xf>
    <xf numFmtId="0" fontId="82" fillId="33" borderId="12" xfId="0" applyFont="1" applyFill="1" applyBorder="1" applyAlignment="1">
      <alignment horizontal="left" vertical="center" wrapText="1"/>
    </xf>
    <xf numFmtId="14" fontId="92" fillId="0" borderId="1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9" fontId="85" fillId="34" borderId="12" xfId="0" applyNumberFormat="1" applyFont="1" applyFill="1" applyBorder="1" applyAlignment="1">
      <alignment horizontal="right" vertical="center"/>
    </xf>
    <xf numFmtId="4" fontId="14" fillId="0" borderId="11" xfId="0" applyNumberFormat="1" applyFont="1" applyBorder="1" applyAlignment="1">
      <alignment/>
    </xf>
    <xf numFmtId="0" fontId="15" fillId="35" borderId="11" xfId="53" applyNumberFormat="1" applyFont="1" applyFill="1" applyBorder="1" applyAlignment="1">
      <alignment horizontal="center" wrapText="1"/>
      <protection/>
    </xf>
    <xf numFmtId="2" fontId="15" fillId="35" borderId="11" xfId="53" applyNumberFormat="1" applyFont="1" applyFill="1" applyBorder="1" applyAlignment="1">
      <alignment horizontal="center" wrapText="1"/>
      <protection/>
    </xf>
    <xf numFmtId="0" fontId="86" fillId="33" borderId="10" xfId="0" applyFont="1" applyFill="1" applyBorder="1" applyAlignment="1">
      <alignment vertical="center"/>
    </xf>
    <xf numFmtId="0" fontId="93" fillId="36" borderId="13" xfId="0" applyFont="1" applyFill="1" applyBorder="1" applyAlignment="1">
      <alignment vertical="center"/>
    </xf>
    <xf numFmtId="0" fontId="93" fillId="36" borderId="14" xfId="0" applyFont="1" applyFill="1" applyBorder="1" applyAlignment="1">
      <alignment vertical="center"/>
    </xf>
    <xf numFmtId="0" fontId="93" fillId="36" borderId="15" xfId="0" applyFont="1" applyFill="1" applyBorder="1" applyAlignment="1">
      <alignment vertical="center"/>
    </xf>
    <xf numFmtId="1" fontId="82" fillId="0" borderId="12" xfId="0" applyNumberFormat="1" applyFont="1" applyBorder="1" applyAlignment="1">
      <alignment horizontal="left" vertical="center" wrapText="1"/>
    </xf>
    <xf numFmtId="3" fontId="94" fillId="33" borderId="10" xfId="0" applyNumberFormat="1" applyFont="1" applyFill="1" applyBorder="1" applyAlignment="1">
      <alignment horizontal="right" vertical="center"/>
    </xf>
    <xf numFmtId="0" fontId="95" fillId="33" borderId="12" xfId="0" applyFont="1" applyFill="1" applyBorder="1" applyAlignment="1">
      <alignment horizontal="left" vertical="center" wrapText="1"/>
    </xf>
    <xf numFmtId="0" fontId="84" fillId="37" borderId="10" xfId="0" applyFont="1" applyFill="1" applyBorder="1" applyAlignment="1">
      <alignment horizontal="center" vertical="center"/>
    </xf>
    <xf numFmtId="0" fontId="84" fillId="37" borderId="10" xfId="0" applyFont="1" applyFill="1" applyBorder="1" applyAlignment="1">
      <alignment horizontal="center" vertical="center" wrapText="1"/>
    </xf>
    <xf numFmtId="0" fontId="96" fillId="37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vertical="center" wrapText="1"/>
    </xf>
    <xf numFmtId="0" fontId="97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3" fontId="78" fillId="0" borderId="10" xfId="0" applyNumberFormat="1" applyFont="1" applyBorder="1" applyAlignment="1">
      <alignment vertical="top" wrapText="1"/>
    </xf>
    <xf numFmtId="0" fontId="82" fillId="33" borderId="10" xfId="0" applyFont="1" applyFill="1" applyBorder="1" applyAlignment="1">
      <alignment horizontal="left" vertical="center" wrapText="1"/>
    </xf>
    <xf numFmtId="0" fontId="95" fillId="33" borderId="10" xfId="0" applyFont="1" applyFill="1" applyBorder="1" applyAlignment="1">
      <alignment horizontal="left" vertical="center" wrapText="1"/>
    </xf>
    <xf numFmtId="0" fontId="84" fillId="38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right" vertical="center"/>
    </xf>
    <xf numFmtId="0" fontId="99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84" fillId="37" borderId="10" xfId="0" applyFont="1" applyFill="1" applyBorder="1" applyAlignment="1">
      <alignment horizontal="center" vertical="center"/>
    </xf>
    <xf numFmtId="0" fontId="84" fillId="37" borderId="10" xfId="0" applyFont="1" applyFill="1" applyBorder="1" applyAlignment="1">
      <alignment horizontal="center" vertical="center" wrapText="1"/>
    </xf>
    <xf numFmtId="14" fontId="92" fillId="0" borderId="12" xfId="0" applyNumberFormat="1" applyFont="1" applyBorder="1" applyAlignment="1">
      <alignment horizontal="center"/>
    </xf>
    <xf numFmtId="0" fontId="85" fillId="33" borderId="10" xfId="0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101" fillId="0" borderId="0" xfId="0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101" fillId="0" borderId="17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3" fontId="84" fillId="8" borderId="13" xfId="0" applyNumberFormat="1" applyFont="1" applyFill="1" applyBorder="1" applyAlignment="1">
      <alignment horizontal="center" vertical="center"/>
    </xf>
    <xf numFmtId="3" fontId="84" fillId="8" borderId="14" xfId="0" applyNumberFormat="1" applyFont="1" applyFill="1" applyBorder="1" applyAlignment="1">
      <alignment horizontal="center" vertical="center"/>
    </xf>
    <xf numFmtId="3" fontId="84" fillId="8" borderId="15" xfId="0" applyNumberFormat="1" applyFont="1" applyFill="1" applyBorder="1" applyAlignment="1">
      <alignment horizontal="center" vertical="center"/>
    </xf>
    <xf numFmtId="14" fontId="92" fillId="0" borderId="12" xfId="0" applyNumberFormat="1" applyFont="1" applyBorder="1" applyAlignment="1">
      <alignment horizontal="center"/>
    </xf>
    <xf numFmtId="14" fontId="92" fillId="0" borderId="18" xfId="0" applyNumberFormat="1" applyFont="1" applyBorder="1" applyAlignment="1">
      <alignment horizontal="center"/>
    </xf>
    <xf numFmtId="0" fontId="95" fillId="33" borderId="12" xfId="0" applyFont="1" applyFill="1" applyBorder="1" applyAlignment="1">
      <alignment horizontal="left" vertical="center" wrapText="1"/>
    </xf>
    <xf numFmtId="0" fontId="95" fillId="33" borderId="18" xfId="0" applyFont="1" applyFill="1" applyBorder="1" applyAlignment="1">
      <alignment horizontal="left" vertical="center" wrapText="1"/>
    </xf>
    <xf numFmtId="0" fontId="84" fillId="33" borderId="10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right" vertical="center"/>
    </xf>
    <xf numFmtId="0" fontId="78" fillId="0" borderId="0" xfId="0" applyFont="1" applyAlignment="1">
      <alignment horizontal="right" vertical="center" wrapText="1"/>
    </xf>
    <xf numFmtId="0" fontId="83" fillId="0" borderId="0" xfId="0" applyFont="1" applyAlignment="1">
      <alignment horizontal="center" wrapText="1"/>
    </xf>
    <xf numFmtId="0" fontId="84" fillId="37" borderId="10" xfId="0" applyFont="1" applyFill="1" applyBorder="1" applyAlignment="1">
      <alignment horizontal="center" vertical="center"/>
    </xf>
    <xf numFmtId="0" fontId="84" fillId="3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1" fontId="13" fillId="35" borderId="11" xfId="0" applyNumberFormat="1" applyFont="1" applyFill="1" applyBorder="1" applyAlignment="1">
      <alignment horizontal="left" vertical="center" wrapText="1"/>
    </xf>
    <xf numFmtId="0" fontId="93" fillId="36" borderId="13" xfId="0" applyFont="1" applyFill="1" applyBorder="1" applyAlignment="1">
      <alignment horizontal="left" vertical="center"/>
    </xf>
    <xf numFmtId="0" fontId="93" fillId="36" borderId="14" xfId="0" applyFont="1" applyFill="1" applyBorder="1" applyAlignment="1">
      <alignment horizontal="left" vertical="center"/>
    </xf>
    <xf numFmtId="0" fontId="93" fillId="36" borderId="15" xfId="0" applyFont="1" applyFill="1" applyBorder="1" applyAlignment="1">
      <alignment horizontal="left" vertical="center"/>
    </xf>
    <xf numFmtId="3" fontId="102" fillId="14" borderId="13" xfId="0" applyNumberFormat="1" applyFont="1" applyFill="1" applyBorder="1" applyAlignment="1">
      <alignment horizontal="center" vertical="center"/>
    </xf>
    <xf numFmtId="3" fontId="102" fillId="14" borderId="14" xfId="0" applyNumberFormat="1" applyFont="1" applyFill="1" applyBorder="1" applyAlignment="1">
      <alignment horizontal="center" vertical="center"/>
    </xf>
    <xf numFmtId="3" fontId="102" fillId="14" borderId="15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minare\Moldova-Gaz_VEN12\2022\&#1056;&#1077;&#1077;&#1089;&#1090;&#1088;%20&#1072;&#1084;&#1086;&#1088;&#1090;&#1080;&#1079;&#1072;&#1094;&#1080;&#1080;%202022%20M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u 2018"/>
      <sheetName val="Registru 2021"/>
      <sheetName val="Registru 2022"/>
      <sheetName val="Rep-A"/>
      <sheetName val="Rep-A1"/>
    </sheetNames>
    <sheetDataSet>
      <sheetData sheetId="1">
        <row r="8">
          <cell r="B8" t="str">
            <v>Асфальтовое покрытие территория офиса</v>
          </cell>
        </row>
        <row r="10">
          <cell r="B10" t="str">
            <v>Поддерживающие и защитные сооружения  бетонные (галереи)</v>
          </cell>
        </row>
        <row r="11">
          <cell r="B11" t="str">
            <v>Трубопровод чугунный</v>
          </cell>
        </row>
        <row r="12">
          <cell r="B12" t="str">
            <v>склад 1 (инвестиции, наем)</v>
          </cell>
        </row>
        <row r="14">
          <cell r="B14" t="str">
            <v>Легковой автомобиль Audi</v>
          </cell>
        </row>
        <row r="16">
          <cell r="B16" t="str">
            <v>Погрузчик Komatsu FG18T 619530</v>
          </cell>
        </row>
        <row r="17">
          <cell r="B17" t="str">
            <v>Станок полировочный SMR-1,05 CB 15863</v>
          </cell>
        </row>
        <row r="18">
          <cell r="B18" t="str">
            <v>Станок по фасонной обработке камня MAKITA (инвестиции, наем)</v>
          </cell>
        </row>
        <row r="19">
          <cell r="B19" t="str">
            <v>трактор, управляемый рядом идущим водителем (из консервации)</v>
          </cell>
        </row>
        <row r="21">
          <cell r="B21" t="str">
            <v>Отбойный молоток электрический MAKITA</v>
          </cell>
        </row>
        <row r="22">
          <cell r="B22" t="str">
            <v>Вращающийся молоток MAKITA</v>
          </cell>
        </row>
        <row r="25">
          <cell r="B25" t="str">
            <v>Некапитальное строение типа киоск (инвестиции, наем)</v>
          </cell>
        </row>
        <row r="26">
          <cell r="B26" t="str">
            <v>Комбинированный холодильник-морозильник с раздельными наружными дверьми (инвестиции, наем)</v>
          </cell>
        </row>
      </sheetData>
      <sheetData sheetId="3">
        <row r="7">
          <cell r="G7">
            <v>11500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3">
      <selection activeCell="R21" sqref="R21"/>
    </sheetView>
  </sheetViews>
  <sheetFormatPr defaultColWidth="9.140625" defaultRowHeight="15"/>
  <cols>
    <col min="1" max="1" width="3.140625" style="1" customWidth="1"/>
    <col min="2" max="2" width="9.00390625" style="1" bestFit="1" customWidth="1"/>
    <col min="3" max="3" width="9.28125" style="1" customWidth="1"/>
    <col min="4" max="4" width="6.57421875" style="1" customWidth="1"/>
    <col min="5" max="5" width="5.28125" style="1" customWidth="1"/>
    <col min="6" max="6" width="5.57421875" style="1" customWidth="1"/>
    <col min="7" max="7" width="6.28125" style="1" customWidth="1"/>
    <col min="8" max="8" width="4.7109375" style="1" customWidth="1"/>
    <col min="9" max="9" width="6.57421875" style="1" customWidth="1"/>
    <col min="10" max="10" width="7.140625" style="1" customWidth="1"/>
    <col min="11" max="11" width="4.7109375" style="1" customWidth="1"/>
    <col min="12" max="12" width="8.7109375" style="1" customWidth="1"/>
    <col min="13" max="13" width="5.7109375" style="1" customWidth="1"/>
    <col min="14" max="14" width="7.28125" style="1" customWidth="1"/>
    <col min="15" max="17" width="5.7109375" style="1" customWidth="1"/>
    <col min="18" max="19" width="5.421875" style="1" customWidth="1"/>
    <col min="20" max="20" width="6.00390625" style="1" customWidth="1"/>
    <col min="21" max="21" width="7.28125" style="1" customWidth="1"/>
    <col min="22" max="22" width="9.00390625" style="1" bestFit="1" customWidth="1"/>
    <col min="23" max="23" width="8.8515625" style="1" customWidth="1"/>
    <col min="24" max="24" width="9.00390625" style="1" bestFit="1" customWidth="1"/>
    <col min="25" max="16384" width="8.8515625" style="1" customWidth="1"/>
  </cols>
  <sheetData>
    <row r="1" spans="23:24" ht="14.25" customHeight="1">
      <c r="W1" s="93" t="s">
        <v>56</v>
      </c>
      <c r="X1" s="93"/>
    </row>
    <row r="2" ht="13.5">
      <c r="U2" s="1" t="s">
        <v>0</v>
      </c>
    </row>
    <row r="3" spans="3:20" ht="13.5">
      <c r="C3" s="94" t="s">
        <v>28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1" t="s">
        <v>1</v>
      </c>
    </row>
    <row r="4" spans="3:23" ht="13.5">
      <c r="C4" s="94" t="s">
        <v>29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W4" s="1" t="s">
        <v>2</v>
      </c>
    </row>
    <row r="5" spans="3:19" ht="13.5">
      <c r="C5" s="94" t="s">
        <v>30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7" spans="2:21" ht="13.5">
      <c r="B7" s="91" t="s">
        <v>20</v>
      </c>
      <c r="C7" s="91"/>
      <c r="D7" s="91"/>
      <c r="T7" s="88"/>
      <c r="U7" s="88"/>
    </row>
    <row r="8" spans="2:21" ht="14.25" customHeight="1">
      <c r="B8" s="92" t="s">
        <v>3</v>
      </c>
      <c r="C8" s="92"/>
      <c r="D8" s="92"/>
      <c r="T8" s="89" t="s">
        <v>4</v>
      </c>
      <c r="U8" s="89"/>
    </row>
    <row r="10" spans="2:21" ht="13.5">
      <c r="B10" s="91" t="s">
        <v>21</v>
      </c>
      <c r="C10" s="91"/>
      <c r="D10" s="91"/>
      <c r="T10" s="88"/>
      <c r="U10" s="88"/>
    </row>
    <row r="11" spans="2:21" ht="14.25" customHeight="1">
      <c r="B11" s="92" t="s">
        <v>5</v>
      </c>
      <c r="C11" s="92"/>
      <c r="D11" s="92"/>
      <c r="T11" s="90" t="s">
        <v>6</v>
      </c>
      <c r="U11" s="90"/>
    </row>
    <row r="12" ht="12.75" customHeight="1">
      <c r="X12" s="1" t="s">
        <v>7</v>
      </c>
    </row>
    <row r="13" spans="1:24" s="4" customFormat="1" ht="12.75" customHeight="1">
      <c r="A13" s="87" t="s">
        <v>8</v>
      </c>
      <c r="B13" s="87" t="s">
        <v>31</v>
      </c>
      <c r="C13" s="87" t="s">
        <v>32</v>
      </c>
      <c r="D13" s="87" t="s">
        <v>33</v>
      </c>
      <c r="E13" s="87"/>
      <c r="F13" s="87"/>
      <c r="G13" s="87"/>
      <c r="H13" s="87"/>
      <c r="I13" s="87"/>
      <c r="J13" s="87" t="s">
        <v>52</v>
      </c>
      <c r="K13" s="87"/>
      <c r="L13" s="87"/>
      <c r="M13" s="87"/>
      <c r="N13" s="87"/>
      <c r="O13" s="87" t="s">
        <v>53</v>
      </c>
      <c r="P13" s="87"/>
      <c r="Q13" s="87"/>
      <c r="R13" s="87"/>
      <c r="S13" s="87"/>
      <c r="T13" s="87"/>
      <c r="U13" s="87"/>
      <c r="V13" s="87" t="s">
        <v>34</v>
      </c>
      <c r="W13" s="87" t="s">
        <v>35</v>
      </c>
      <c r="X13" s="87" t="s">
        <v>36</v>
      </c>
    </row>
    <row r="14" spans="1:24" s="4" customFormat="1" ht="153">
      <c r="A14" s="87"/>
      <c r="B14" s="87"/>
      <c r="C14" s="87"/>
      <c r="D14" s="16" t="s">
        <v>37</v>
      </c>
      <c r="E14" s="16" t="s">
        <v>38</v>
      </c>
      <c r="F14" s="16" t="s">
        <v>39</v>
      </c>
      <c r="G14" s="16" t="s">
        <v>40</v>
      </c>
      <c r="H14" s="16" t="s">
        <v>41</v>
      </c>
      <c r="I14" s="16" t="s">
        <v>42</v>
      </c>
      <c r="J14" s="16" t="s">
        <v>55</v>
      </c>
      <c r="K14" s="16" t="s">
        <v>43</v>
      </c>
      <c r="L14" s="16" t="s">
        <v>44</v>
      </c>
      <c r="M14" s="16" t="s">
        <v>45</v>
      </c>
      <c r="N14" s="16" t="s">
        <v>42</v>
      </c>
      <c r="O14" s="16" t="s">
        <v>46</v>
      </c>
      <c r="P14" s="16" t="s">
        <v>47</v>
      </c>
      <c r="Q14" s="16" t="s">
        <v>48</v>
      </c>
      <c r="R14" s="16" t="s">
        <v>49</v>
      </c>
      <c r="S14" s="16" t="s">
        <v>50</v>
      </c>
      <c r="T14" s="16" t="s">
        <v>51</v>
      </c>
      <c r="U14" s="16" t="s">
        <v>42</v>
      </c>
      <c r="V14" s="87"/>
      <c r="W14" s="87"/>
      <c r="X14" s="87"/>
    </row>
    <row r="15" spans="1:24" s="15" customFormat="1" ht="24" customHeight="1">
      <c r="A15" s="14" t="s">
        <v>9</v>
      </c>
      <c r="B15" s="14">
        <v>1</v>
      </c>
      <c r="C15" s="14">
        <v>2</v>
      </c>
      <c r="D15" s="14">
        <v>3</v>
      </c>
      <c r="E15" s="14">
        <v>4</v>
      </c>
      <c r="F15" s="14">
        <v>5</v>
      </c>
      <c r="G15" s="14">
        <v>6</v>
      </c>
      <c r="H15" s="14">
        <v>7</v>
      </c>
      <c r="I15" s="14" t="s">
        <v>22</v>
      </c>
      <c r="J15" s="14">
        <v>9</v>
      </c>
      <c r="K15" s="14">
        <v>10</v>
      </c>
      <c r="L15" s="14">
        <v>11</v>
      </c>
      <c r="M15" s="14">
        <v>12</v>
      </c>
      <c r="N15" s="14" t="s">
        <v>23</v>
      </c>
      <c r="O15" s="14">
        <v>14</v>
      </c>
      <c r="P15" s="14">
        <v>15</v>
      </c>
      <c r="Q15" s="14">
        <v>16</v>
      </c>
      <c r="R15" s="14">
        <v>17</v>
      </c>
      <c r="S15" s="14">
        <v>18</v>
      </c>
      <c r="T15" s="14">
        <v>19</v>
      </c>
      <c r="U15" s="14" t="s">
        <v>10</v>
      </c>
      <c r="V15" s="14" t="s">
        <v>24</v>
      </c>
      <c r="W15" s="14" t="s">
        <v>25</v>
      </c>
      <c r="X15" s="14" t="s">
        <v>26</v>
      </c>
    </row>
    <row r="16" spans="1:24" ht="48">
      <c r="A16" s="2">
        <v>1</v>
      </c>
      <c r="B16" s="8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>
      <c r="A17" s="2"/>
      <c r="B17" s="8" t="s">
        <v>54</v>
      </c>
      <c r="C17" s="9">
        <v>830797</v>
      </c>
      <c r="D17" s="2"/>
      <c r="E17" s="2"/>
      <c r="F17" s="2"/>
      <c r="G17" s="2"/>
      <c r="H17" s="2"/>
      <c r="I17" s="3"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9">
        <f>C17+N17-U17</f>
        <v>830797</v>
      </c>
      <c r="W17" s="9"/>
      <c r="X17" s="9">
        <f>V17-W17</f>
        <v>830797</v>
      </c>
    </row>
    <row r="18" spans="1:24" ht="13.5">
      <c r="A18" s="2">
        <v>2</v>
      </c>
      <c r="B18" s="2" t="s">
        <v>12</v>
      </c>
      <c r="C18" s="10">
        <v>830797</v>
      </c>
      <c r="D18" s="2"/>
      <c r="E18" s="2"/>
      <c r="F18" s="2"/>
      <c r="G18" s="2"/>
      <c r="H18" s="2"/>
      <c r="I18" s="3"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0">
        <f>C18+N18-U18</f>
        <v>830797</v>
      </c>
      <c r="W18" s="10"/>
      <c r="X18" s="10">
        <f>V18-W18</f>
        <v>830797</v>
      </c>
    </row>
    <row r="19" spans="1:24" ht="13.5">
      <c r="A19" s="2">
        <v>3</v>
      </c>
      <c r="B19" s="2" t="s">
        <v>13</v>
      </c>
      <c r="C19" s="9">
        <v>292228</v>
      </c>
      <c r="D19" s="3"/>
      <c r="E19" s="3"/>
      <c r="F19" s="3"/>
      <c r="G19" s="3"/>
      <c r="H19" s="3"/>
      <c r="I19" s="3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9">
        <f>C19+N19-U19</f>
        <v>292228</v>
      </c>
      <c r="W19" s="9"/>
      <c r="X19" s="9">
        <f>V19-W19</f>
        <v>292228</v>
      </c>
    </row>
    <row r="20" spans="1:24" ht="13.5">
      <c r="A20" s="2"/>
      <c r="B20" s="2"/>
      <c r="C20" s="3">
        <v>1</v>
      </c>
      <c r="D20" s="3"/>
      <c r="E20" s="3"/>
      <c r="F20" s="3"/>
      <c r="G20" s="3"/>
      <c r="H20" s="3"/>
      <c r="I20" s="3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9">
        <v>1</v>
      </c>
      <c r="W20" s="9"/>
      <c r="X20" s="3">
        <v>1</v>
      </c>
    </row>
    <row r="21" spans="1:24" ht="13.5">
      <c r="A21" s="2">
        <v>4</v>
      </c>
      <c r="B21" s="2" t="s">
        <v>14</v>
      </c>
      <c r="C21" s="3"/>
      <c r="D21" s="3"/>
      <c r="E21" s="3"/>
      <c r="F21" s="3"/>
      <c r="G21" s="3"/>
      <c r="H21" s="3"/>
      <c r="I21" s="3"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9">
        <v>0</v>
      </c>
      <c r="W21" s="9"/>
      <c r="X21" s="3">
        <v>0</v>
      </c>
    </row>
    <row r="22" spans="1:24" ht="13.5">
      <c r="A22" s="2"/>
      <c r="B22" s="2"/>
      <c r="C22" s="3"/>
      <c r="D22" s="3"/>
      <c r="E22" s="3"/>
      <c r="F22" s="3"/>
      <c r="G22" s="3"/>
      <c r="H22" s="3"/>
      <c r="I22" s="3"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9">
        <v>0</v>
      </c>
      <c r="W22" s="9"/>
      <c r="X22" s="3">
        <v>0</v>
      </c>
    </row>
    <row r="23" spans="1:24" ht="13.5">
      <c r="A23" s="2">
        <v>5</v>
      </c>
      <c r="B23" s="2" t="s">
        <v>15</v>
      </c>
      <c r="C23" s="3">
        <v>214500</v>
      </c>
      <c r="D23" s="3"/>
      <c r="E23" s="3"/>
      <c r="F23" s="3"/>
      <c r="G23" s="3"/>
      <c r="H23" s="3"/>
      <c r="I23" s="3"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9">
        <f>C23+N23-U23</f>
        <v>214500</v>
      </c>
      <c r="W23" s="9"/>
      <c r="X23" s="9">
        <f>V23-W23</f>
        <v>214500</v>
      </c>
    </row>
    <row r="24" spans="1:24" ht="13.5">
      <c r="A24" s="2"/>
      <c r="B24" s="2"/>
      <c r="C24" s="3">
        <v>2</v>
      </c>
      <c r="D24" s="3"/>
      <c r="E24" s="3"/>
      <c r="F24" s="3"/>
      <c r="G24" s="3"/>
      <c r="H24" s="3"/>
      <c r="I24" s="3"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9">
        <v>2</v>
      </c>
      <c r="W24" s="9"/>
      <c r="X24" s="3">
        <v>2</v>
      </c>
    </row>
    <row r="25" spans="1:24" ht="13.5">
      <c r="A25" s="2">
        <v>6</v>
      </c>
      <c r="B25" s="2" t="s">
        <v>16</v>
      </c>
      <c r="C25" s="9">
        <v>173158</v>
      </c>
      <c r="D25" s="3"/>
      <c r="E25" s="3"/>
      <c r="F25" s="3"/>
      <c r="G25" s="3"/>
      <c r="H25" s="3"/>
      <c r="I25" s="3">
        <v>0</v>
      </c>
      <c r="J25" s="9"/>
      <c r="K25" s="3"/>
      <c r="L25" s="3"/>
      <c r="M25" s="3"/>
      <c r="N25" s="3">
        <f>J25-K25-L25+M25</f>
        <v>0</v>
      </c>
      <c r="O25" s="3"/>
      <c r="P25" s="3"/>
      <c r="Q25" s="3"/>
      <c r="R25" s="3"/>
      <c r="S25" s="3"/>
      <c r="T25" s="3"/>
      <c r="U25" s="3"/>
      <c r="V25" s="9">
        <f>C25+N25-U25</f>
        <v>173158</v>
      </c>
      <c r="W25" s="9"/>
      <c r="X25" s="9">
        <f>V25-W25</f>
        <v>173158</v>
      </c>
    </row>
    <row r="26" spans="1:24" ht="13.5">
      <c r="A26" s="2"/>
      <c r="B26" s="2"/>
      <c r="C26" s="3">
        <v>12</v>
      </c>
      <c r="D26" s="3"/>
      <c r="E26" s="3"/>
      <c r="F26" s="3"/>
      <c r="G26" s="3"/>
      <c r="H26" s="3"/>
      <c r="I26" s="3">
        <v>0</v>
      </c>
      <c r="J26" s="3"/>
      <c r="K26" s="3"/>
      <c r="L26" s="3"/>
      <c r="M26" s="3"/>
      <c r="N26" s="3">
        <f>J26-K26-L26+M26</f>
        <v>0</v>
      </c>
      <c r="O26" s="3"/>
      <c r="P26" s="3"/>
      <c r="Q26" s="3"/>
      <c r="R26" s="3"/>
      <c r="S26" s="3"/>
      <c r="T26" s="3"/>
      <c r="U26" s="3"/>
      <c r="V26" s="9">
        <v>12</v>
      </c>
      <c r="W26" s="3"/>
      <c r="X26" s="3">
        <v>12</v>
      </c>
    </row>
    <row r="27" spans="1:24" ht="13.5">
      <c r="A27" s="6">
        <v>7</v>
      </c>
      <c r="B27" s="13" t="s">
        <v>27</v>
      </c>
      <c r="C27" s="10">
        <f>C25+C19+C18+C23</f>
        <v>1510683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10">
        <f>V25+V19+V18+V23</f>
        <v>1510683</v>
      </c>
      <c r="W27" s="10">
        <f>W25+W19+W17</f>
        <v>0</v>
      </c>
      <c r="X27" s="10">
        <f>X25+X19+X18+X23</f>
        <v>1510683</v>
      </c>
    </row>
    <row r="29" spans="2:14" ht="13.5">
      <c r="B29" s="1" t="s">
        <v>18</v>
      </c>
      <c r="N29" s="1" t="s">
        <v>19</v>
      </c>
    </row>
  </sheetData>
  <sheetProtection/>
  <mergeCells count="21">
    <mergeCell ref="B10:D10"/>
    <mergeCell ref="B11:D11"/>
    <mergeCell ref="B8:D8"/>
    <mergeCell ref="W1:X1"/>
    <mergeCell ref="C3:S3"/>
    <mergeCell ref="C4:S4"/>
    <mergeCell ref="C5:S5"/>
    <mergeCell ref="B7:D7"/>
    <mergeCell ref="C13:C14"/>
    <mergeCell ref="B13:B14"/>
    <mergeCell ref="A13:A14"/>
    <mergeCell ref="J13:N13"/>
    <mergeCell ref="O13:U13"/>
    <mergeCell ref="D13:I13"/>
    <mergeCell ref="V13:V14"/>
    <mergeCell ref="W13:W14"/>
    <mergeCell ref="X13:X14"/>
    <mergeCell ref="T7:U7"/>
    <mergeCell ref="T8:U8"/>
    <mergeCell ref="T11:U11"/>
    <mergeCell ref="T10:U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zoomScale="115" zoomScaleNormal="115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5"/>
  <cols>
    <col min="1" max="1" width="6.00390625" style="0" customWidth="1"/>
    <col min="2" max="2" width="20.57421875" style="0" customWidth="1"/>
    <col min="3" max="3" width="8.7109375" style="0" customWidth="1"/>
    <col min="4" max="4" width="7.7109375" style="0" customWidth="1"/>
    <col min="5" max="5" width="4.421875" style="0" customWidth="1"/>
    <col min="6" max="6" width="4.7109375" style="0" customWidth="1"/>
    <col min="7" max="8" width="7.28125" style="0" customWidth="1"/>
    <col min="9" max="11" width="7.140625" style="0" customWidth="1"/>
    <col min="12" max="12" width="7.28125" style="0" customWidth="1"/>
    <col min="13" max="13" width="7.57421875" style="0" customWidth="1"/>
    <col min="14" max="14" width="7.7109375" style="0" customWidth="1"/>
    <col min="15" max="15" width="7.28125" style="0" customWidth="1"/>
    <col min="16" max="16" width="7.57421875" style="0" customWidth="1"/>
    <col min="17" max="19" width="7.28125" style="0" customWidth="1"/>
    <col min="20" max="20" width="7.140625" style="0" customWidth="1"/>
    <col min="21" max="22" width="7.00390625" style="0" customWidth="1"/>
    <col min="26" max="27" width="8.8515625" style="0" customWidth="1"/>
  </cols>
  <sheetData>
    <row r="1" spans="2:29" ht="15">
      <c r="B1" s="19"/>
      <c r="O1" s="19"/>
      <c r="R1" s="19"/>
      <c r="T1" s="104"/>
      <c r="U1" s="104"/>
      <c r="V1" s="104"/>
      <c r="AC1" s="19"/>
    </row>
    <row r="2" spans="1:30" ht="15" customHeight="1">
      <c r="A2" s="105" t="s">
        <v>98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4" spans="1:29" ht="14.25">
      <c r="A4" s="106" t="s">
        <v>71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 t="s">
        <v>72</v>
      </c>
      <c r="N4" s="106"/>
      <c r="O4" s="106"/>
      <c r="P4" s="106"/>
      <c r="Q4" s="106"/>
      <c r="R4" s="106"/>
      <c r="S4" s="106"/>
      <c r="T4" s="106"/>
      <c r="U4" s="106"/>
      <c r="V4" s="106"/>
      <c r="W4" s="69" t="s">
        <v>73</v>
      </c>
      <c r="X4" s="107" t="s">
        <v>74</v>
      </c>
      <c r="Y4" s="107"/>
      <c r="Z4" s="107"/>
      <c r="AA4" s="107"/>
      <c r="AB4" s="107"/>
      <c r="AC4" s="107"/>
    </row>
    <row r="5" spans="1:30" ht="135" customHeight="1">
      <c r="A5" s="70" t="s">
        <v>75</v>
      </c>
      <c r="B5" s="70" t="s">
        <v>76</v>
      </c>
      <c r="C5" s="70" t="s">
        <v>77</v>
      </c>
      <c r="D5" s="70" t="s">
        <v>78</v>
      </c>
      <c r="E5" s="70" t="s">
        <v>79</v>
      </c>
      <c r="F5" s="71" t="s">
        <v>80</v>
      </c>
      <c r="G5" s="70" t="s">
        <v>81</v>
      </c>
      <c r="H5" s="71" t="s">
        <v>82</v>
      </c>
      <c r="I5" s="70" t="s">
        <v>83</v>
      </c>
      <c r="J5" s="70" t="s">
        <v>84</v>
      </c>
      <c r="K5" s="70" t="s">
        <v>85</v>
      </c>
      <c r="L5" s="70" t="s">
        <v>86</v>
      </c>
      <c r="M5" s="70" t="s">
        <v>87</v>
      </c>
      <c r="N5" s="70" t="s">
        <v>84</v>
      </c>
      <c r="O5" s="70" t="s">
        <v>88</v>
      </c>
      <c r="P5" s="70" t="s">
        <v>89</v>
      </c>
      <c r="Q5" s="70" t="s">
        <v>90</v>
      </c>
      <c r="R5" s="70" t="s">
        <v>91</v>
      </c>
      <c r="S5" s="70" t="s">
        <v>92</v>
      </c>
      <c r="T5" s="70" t="s">
        <v>93</v>
      </c>
      <c r="U5" s="70" t="s">
        <v>94</v>
      </c>
      <c r="V5" s="70" t="s">
        <v>86</v>
      </c>
      <c r="W5" s="70" t="s">
        <v>95</v>
      </c>
      <c r="X5" s="70" t="s">
        <v>77</v>
      </c>
      <c r="Y5" s="70" t="s">
        <v>78</v>
      </c>
      <c r="Z5" s="70" t="s">
        <v>79</v>
      </c>
      <c r="AA5" s="70" t="s">
        <v>80</v>
      </c>
      <c r="AB5" s="70" t="s">
        <v>96</v>
      </c>
      <c r="AC5" s="70" t="s">
        <v>97</v>
      </c>
      <c r="AD5" s="79" t="s">
        <v>144</v>
      </c>
    </row>
    <row r="6" spans="1:29" ht="14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0">
        <v>19</v>
      </c>
      <c r="T6" s="20">
        <v>20</v>
      </c>
      <c r="U6" s="20">
        <v>21</v>
      </c>
      <c r="V6" s="20">
        <v>22</v>
      </c>
      <c r="W6" s="20">
        <v>23</v>
      </c>
      <c r="X6" s="20">
        <v>24</v>
      </c>
      <c r="Y6" s="20">
        <v>25</v>
      </c>
      <c r="Z6" s="20">
        <v>26</v>
      </c>
      <c r="AA6" s="20">
        <v>27</v>
      </c>
      <c r="AB6" s="20">
        <v>28</v>
      </c>
      <c r="AC6" s="20">
        <v>29</v>
      </c>
    </row>
    <row r="7" spans="1:30" ht="14.25">
      <c r="A7" s="41"/>
      <c r="B7" s="42" t="s">
        <v>99</v>
      </c>
      <c r="C7" s="43">
        <v>830797</v>
      </c>
      <c r="D7" s="43">
        <v>830797</v>
      </c>
      <c r="E7" s="48">
        <v>300</v>
      </c>
      <c r="F7" s="44">
        <v>300</v>
      </c>
      <c r="G7" s="43">
        <f>C7/E7*12</f>
        <v>33231.88</v>
      </c>
      <c r="H7" s="41">
        <v>12</v>
      </c>
      <c r="I7" s="45">
        <v>4</v>
      </c>
      <c r="J7" s="24" t="s">
        <v>57</v>
      </c>
      <c r="K7" s="35">
        <v>12</v>
      </c>
      <c r="L7" s="22">
        <v>19385.263333333332</v>
      </c>
      <c r="M7" s="36"/>
      <c r="N7" s="24"/>
      <c r="O7" s="21"/>
      <c r="P7" s="36"/>
      <c r="Q7" s="37"/>
      <c r="R7" s="36"/>
      <c r="S7" s="37"/>
      <c r="T7" s="46"/>
      <c r="U7" s="21"/>
      <c r="V7" s="36"/>
      <c r="W7" s="22">
        <v>40291.2167781155</v>
      </c>
      <c r="X7" s="22">
        <f>IF(M7&gt;0,R7,C7)</f>
        <v>830797</v>
      </c>
      <c r="Y7" s="22">
        <f>IF(M7&gt;0,D7+M7,D7)</f>
        <v>830797</v>
      </c>
      <c r="Z7" s="80">
        <f>IF(O7&gt;0,O7,E7)</f>
        <v>300</v>
      </c>
      <c r="AA7" s="80">
        <f>IF(S7&gt;0,S7,F7)</f>
        <v>300</v>
      </c>
      <c r="AB7" s="22">
        <f>G7+W7</f>
        <v>73523.09677811549</v>
      </c>
      <c r="AC7" s="80">
        <f>IF(M7&gt;0,Q7+U7,H7+K7)</f>
        <v>24</v>
      </c>
      <c r="AD7" s="67">
        <f>IF((Y7-G7-W7)&gt;0,Y7-G7-W7,0)</f>
        <v>757273.9032218845</v>
      </c>
    </row>
    <row r="8" spans="1:29" ht="14.25" customHeight="1">
      <c r="A8" s="108"/>
      <c r="B8" s="109" t="s">
        <v>100</v>
      </c>
      <c r="C8" s="43">
        <v>171779.60706957744</v>
      </c>
      <c r="D8" s="43">
        <f>C8</f>
        <v>171779.60706957744</v>
      </c>
      <c r="E8" s="48">
        <f>14*12</f>
        <v>168</v>
      </c>
      <c r="F8" s="48">
        <f>E8</f>
        <v>168</v>
      </c>
      <c r="G8" s="43">
        <f>C8/E8*12</f>
        <v>12269.971933541245</v>
      </c>
      <c r="H8" s="41">
        <v>12</v>
      </c>
      <c r="I8" s="45">
        <f>100/F8*12</f>
        <v>7.142857142857142</v>
      </c>
      <c r="J8" s="24" t="s">
        <v>57</v>
      </c>
      <c r="K8" s="35">
        <f>N8-1</f>
        <v>2</v>
      </c>
      <c r="L8" s="22">
        <f>C8*I8*K8/12/100</f>
        <v>2044.995322256874</v>
      </c>
      <c r="M8" s="36">
        <v>107611.54</v>
      </c>
      <c r="N8" s="24">
        <v>3</v>
      </c>
      <c r="O8" s="48">
        <f>16*12</f>
        <v>192</v>
      </c>
      <c r="P8" s="36">
        <f>G8+L8</f>
        <v>14314.96725579812</v>
      </c>
      <c r="Q8" s="24">
        <f>K8</f>
        <v>2</v>
      </c>
      <c r="R8" s="36">
        <f>C8-P8+M8</f>
        <v>265076.1798137793</v>
      </c>
      <c r="S8" s="58">
        <f>O8-Q8</f>
        <v>190</v>
      </c>
      <c r="T8" s="45">
        <f>100/S8*12</f>
        <v>6.315789473684211</v>
      </c>
      <c r="U8" s="24">
        <v>5</v>
      </c>
      <c r="V8" s="36">
        <f>R8*T8/100/12*U8</f>
        <v>6975.688942467877</v>
      </c>
      <c r="W8" s="36">
        <f>L8+V8</f>
        <v>9020.68426472475</v>
      </c>
      <c r="X8" s="59"/>
      <c r="Y8" s="59"/>
      <c r="Z8" s="60"/>
      <c r="AA8" s="60"/>
      <c r="AB8" s="59"/>
      <c r="AC8" s="60"/>
    </row>
    <row r="9" spans="1:30" ht="14.25">
      <c r="A9" s="108"/>
      <c r="B9" s="109"/>
      <c r="C9" s="59"/>
      <c r="D9" s="43"/>
      <c r="E9" s="60"/>
      <c r="F9" s="60"/>
      <c r="G9" s="57"/>
      <c r="H9" s="57"/>
      <c r="I9" s="61"/>
      <c r="J9" s="60"/>
      <c r="K9" s="60"/>
      <c r="L9" s="59"/>
      <c r="M9" s="36">
        <v>485774.28</v>
      </c>
      <c r="N9" s="24">
        <v>8</v>
      </c>
      <c r="O9" s="48">
        <f>18*12</f>
        <v>216</v>
      </c>
      <c r="P9" s="36">
        <f>L8+V8</f>
        <v>9020.68426472475</v>
      </c>
      <c r="Q9" s="24">
        <f>K8+U8</f>
        <v>7</v>
      </c>
      <c r="R9" s="36">
        <f>C8+M8+M9-P9</f>
        <v>756144.7428048527</v>
      </c>
      <c r="S9" s="58">
        <f>O9-Q9</f>
        <v>209</v>
      </c>
      <c r="T9" s="45">
        <f>100/S9*12</f>
        <v>5.741626794258373</v>
      </c>
      <c r="U9" s="24">
        <v>5</v>
      </c>
      <c r="V9" s="36">
        <f>R9*T9/100/12*U9</f>
        <v>18089.587148441453</v>
      </c>
      <c r="W9" s="36">
        <f>L9+V9</f>
        <v>18089.587148441453</v>
      </c>
      <c r="X9" s="22">
        <f>IF(M9&gt;0,R9,C9)</f>
        <v>756144.7428048527</v>
      </c>
      <c r="Y9" s="22">
        <f>IF(M9&gt;0,D8+M8+M9,D8)</f>
        <v>765165.4270695774</v>
      </c>
      <c r="Z9" s="80">
        <f>E8</f>
        <v>168</v>
      </c>
      <c r="AA9" s="80">
        <f>IF(S9&gt;0,S9,F9)</f>
        <v>209</v>
      </c>
      <c r="AB9" s="22">
        <f>G9+W9</f>
        <v>18089.587148441453</v>
      </c>
      <c r="AC9" s="86">
        <v>24</v>
      </c>
      <c r="AD9" s="67">
        <f aca="true" t="shared" si="0" ref="AD9:AD18">IF((Y9-G9-W9)&gt;0,Y9-G9-W9,0)</f>
        <v>747075.8399211359</v>
      </c>
    </row>
    <row r="10" spans="1:30" ht="36">
      <c r="A10" s="41"/>
      <c r="B10" s="42" t="s">
        <v>101</v>
      </c>
      <c r="C10" s="43">
        <v>531200</v>
      </c>
      <c r="D10" s="43">
        <v>531200</v>
      </c>
      <c r="E10" s="48">
        <v>240</v>
      </c>
      <c r="F10" s="44">
        <v>240</v>
      </c>
      <c r="G10" s="43">
        <f aca="true" t="shared" si="1" ref="G10:G18">C10/E10*12</f>
        <v>26560</v>
      </c>
      <c r="H10" s="41">
        <v>12</v>
      </c>
      <c r="I10" s="45">
        <v>5</v>
      </c>
      <c r="J10" s="24" t="s">
        <v>57</v>
      </c>
      <c r="K10" s="35">
        <v>12</v>
      </c>
      <c r="L10" s="22">
        <v>26560</v>
      </c>
      <c r="M10" s="36"/>
      <c r="N10" s="24"/>
      <c r="O10" s="21"/>
      <c r="P10" s="36"/>
      <c r="Q10" s="37"/>
      <c r="R10" s="36"/>
      <c r="S10" s="37"/>
      <c r="T10" s="46"/>
      <c r="U10" s="21"/>
      <c r="V10" s="36"/>
      <c r="W10" s="22">
        <v>26560</v>
      </c>
      <c r="X10" s="22">
        <f>IF(M10&gt;0,R10,C10)</f>
        <v>531200</v>
      </c>
      <c r="Y10" s="22">
        <f>IF(M10&gt;0,D10+M10,D10)</f>
        <v>531200</v>
      </c>
      <c r="Z10" s="86">
        <f>IF(O10&gt;0,O10,E10)</f>
        <v>240</v>
      </c>
      <c r="AA10" s="80">
        <f>IF(S10&gt;0,S10,F10)</f>
        <v>240</v>
      </c>
      <c r="AB10" s="22">
        <f>G10+W10</f>
        <v>53120</v>
      </c>
      <c r="AC10" s="80">
        <f>IF(M10&gt;0,Q10+U10,H10+K10)</f>
        <v>24</v>
      </c>
      <c r="AD10" s="67">
        <f t="shared" si="0"/>
        <v>478080</v>
      </c>
    </row>
    <row r="11" spans="1:30" ht="14.25">
      <c r="A11" s="41"/>
      <c r="B11" s="42" t="s">
        <v>102</v>
      </c>
      <c r="C11" s="43">
        <v>177926</v>
      </c>
      <c r="D11" s="43">
        <v>177926</v>
      </c>
      <c r="E11" s="48">
        <v>36</v>
      </c>
      <c r="F11" s="44">
        <v>36</v>
      </c>
      <c r="G11" s="43">
        <f t="shared" si="1"/>
        <v>59308.666666666664</v>
      </c>
      <c r="H11" s="41">
        <v>12</v>
      </c>
      <c r="I11" s="45">
        <v>33.33333333333333</v>
      </c>
      <c r="J11" s="24" t="s">
        <v>57</v>
      </c>
      <c r="K11" s="35">
        <v>12</v>
      </c>
      <c r="L11" s="22">
        <v>59308.66666666667</v>
      </c>
      <c r="M11" s="36"/>
      <c r="N11" s="24"/>
      <c r="O11" s="21"/>
      <c r="P11" s="36"/>
      <c r="Q11" s="37"/>
      <c r="R11" s="36"/>
      <c r="S11" s="37"/>
      <c r="T11" s="46"/>
      <c r="U11" s="21"/>
      <c r="V11" s="36"/>
      <c r="W11" s="22">
        <v>59308.66666666667</v>
      </c>
      <c r="X11" s="22">
        <f>IF(M11&gt;0,R11,C11)</f>
        <v>177926</v>
      </c>
      <c r="Y11" s="22">
        <f>IF(M11&gt;0,D11+M11,D11)</f>
        <v>177926</v>
      </c>
      <c r="Z11" s="86">
        <f>IF(O11&gt;0,O11,E11)</f>
        <v>36</v>
      </c>
      <c r="AA11" s="80">
        <f>IF(S11&gt;0,S11,F11)</f>
        <v>36</v>
      </c>
      <c r="AB11" s="22">
        <f>G11+W11</f>
        <v>118617.33333333334</v>
      </c>
      <c r="AC11" s="80">
        <f>IF(M11&gt;0,Q11+U11,H11+K11)</f>
        <v>24</v>
      </c>
      <c r="AD11" s="67">
        <f t="shared" si="0"/>
        <v>59308.66666666667</v>
      </c>
    </row>
    <row r="12" spans="1:30" ht="12.75" customHeight="1">
      <c r="A12" s="54"/>
      <c r="B12" s="17" t="s">
        <v>103</v>
      </c>
      <c r="C12" s="22">
        <v>114302</v>
      </c>
      <c r="D12" s="43">
        <v>114302</v>
      </c>
      <c r="E12" s="47">
        <v>24</v>
      </c>
      <c r="F12" s="54">
        <v>24</v>
      </c>
      <c r="G12" s="43">
        <f t="shared" si="1"/>
        <v>57151</v>
      </c>
      <c r="H12" s="41">
        <v>12</v>
      </c>
      <c r="I12" s="34">
        <v>50</v>
      </c>
      <c r="J12" s="24" t="s">
        <v>57</v>
      </c>
      <c r="K12" s="35">
        <v>12</v>
      </c>
      <c r="L12" s="22">
        <v>57151</v>
      </c>
      <c r="M12" s="62"/>
      <c r="N12" s="21"/>
      <c r="O12" s="21"/>
      <c r="P12" s="21"/>
      <c r="Q12" s="21"/>
      <c r="R12" s="21"/>
      <c r="S12" s="21"/>
      <c r="T12" s="21"/>
      <c r="U12" s="21"/>
      <c r="V12" s="21"/>
      <c r="W12" s="22">
        <v>57151</v>
      </c>
      <c r="X12" s="22">
        <f>IF(M12&gt;0,R12,C12)</f>
        <v>114302</v>
      </c>
      <c r="Y12" s="22">
        <f>IF(M12&gt;0,D12+M12,D12)</f>
        <v>114302</v>
      </c>
      <c r="Z12" s="86">
        <f>IF(O12&gt;0,O12,E12)</f>
        <v>24</v>
      </c>
      <c r="AA12" s="80">
        <f>IF(S12&gt;0,S12,F12)</f>
        <v>24</v>
      </c>
      <c r="AB12" s="22">
        <f>G12+W12</f>
        <v>114302</v>
      </c>
      <c r="AC12" s="80">
        <f>IF(M12&gt;0,Q12+U12,H12+K12)</f>
        <v>24</v>
      </c>
      <c r="AD12" s="67">
        <f t="shared" si="0"/>
        <v>0</v>
      </c>
    </row>
    <row r="13" spans="1:30" ht="14.25">
      <c r="A13" s="54"/>
      <c r="B13" s="18" t="s">
        <v>104</v>
      </c>
      <c r="C13" s="22">
        <v>17329.10209544286</v>
      </c>
      <c r="D13" s="43">
        <v>17329.10209544286</v>
      </c>
      <c r="E13" s="47">
        <v>12</v>
      </c>
      <c r="F13" s="54">
        <v>12</v>
      </c>
      <c r="G13" s="43">
        <f t="shared" si="1"/>
        <v>17329.10209544286</v>
      </c>
      <c r="H13" s="41">
        <v>12</v>
      </c>
      <c r="I13" s="34">
        <v>100</v>
      </c>
      <c r="J13" s="24" t="s">
        <v>57</v>
      </c>
      <c r="K13" s="35">
        <v>9</v>
      </c>
      <c r="L13" s="22">
        <f>C13*I13*K13/12/100</f>
        <v>12996.826571582145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>
        <f>L13+V13</f>
        <v>12996.826571582145</v>
      </c>
      <c r="X13" s="95" t="s">
        <v>67</v>
      </c>
      <c r="Y13" s="96"/>
      <c r="Z13" s="96"/>
      <c r="AA13" s="96"/>
      <c r="AB13" s="96"/>
      <c r="AC13" s="97"/>
      <c r="AD13" s="67">
        <f t="shared" si="0"/>
        <v>0</v>
      </c>
    </row>
    <row r="14" spans="1:30" ht="14.25">
      <c r="A14" s="54"/>
      <c r="B14" s="18" t="s">
        <v>105</v>
      </c>
      <c r="C14" s="22">
        <v>68600</v>
      </c>
      <c r="D14" s="43">
        <f>C14</f>
        <v>68600</v>
      </c>
      <c r="E14" s="47">
        <v>48</v>
      </c>
      <c r="F14" s="54">
        <f>E14</f>
        <v>48</v>
      </c>
      <c r="G14" s="43">
        <f t="shared" si="1"/>
        <v>17150</v>
      </c>
      <c r="H14" s="41">
        <v>12</v>
      </c>
      <c r="I14" s="34">
        <f>100/F14*12</f>
        <v>25</v>
      </c>
      <c r="J14" s="24" t="s">
        <v>57</v>
      </c>
      <c r="K14" s="35">
        <f>12-J14+1</f>
        <v>12</v>
      </c>
      <c r="L14" s="22">
        <f>C14*I14*K14/12/100</f>
        <v>17150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2">
        <f>L14+V14</f>
        <v>17150</v>
      </c>
      <c r="X14" s="22">
        <f>IF(M14&gt;0,R14,C14)</f>
        <v>68600</v>
      </c>
      <c r="Y14" s="22">
        <f>IF(M14&gt;0,D14+M14,D14)</f>
        <v>68600</v>
      </c>
      <c r="Z14" s="86">
        <f>IF(O14&gt;0,O14,E14)</f>
        <v>48</v>
      </c>
      <c r="AA14" s="80">
        <f>IF(S14&gt;0,S14,F14)</f>
        <v>48</v>
      </c>
      <c r="AB14" s="22">
        <f>G14+W14</f>
        <v>34300</v>
      </c>
      <c r="AC14" s="80">
        <f>IF(M14&gt;0,Q14+U14,H14+K14)</f>
        <v>24</v>
      </c>
      <c r="AD14" s="67">
        <f t="shared" si="0"/>
        <v>34300</v>
      </c>
    </row>
    <row r="15" spans="1:30" ht="24">
      <c r="A15" s="54"/>
      <c r="B15" s="18" t="s">
        <v>106</v>
      </c>
      <c r="C15" s="22">
        <v>1769407.6932531893</v>
      </c>
      <c r="D15" s="22">
        <f>C15</f>
        <v>1769407.6932531893</v>
      </c>
      <c r="E15" s="47">
        <v>48</v>
      </c>
      <c r="F15" s="54">
        <f>E15</f>
        <v>48</v>
      </c>
      <c r="G15" s="43">
        <f t="shared" si="1"/>
        <v>442351.92331329733</v>
      </c>
      <c r="H15" s="41">
        <v>12</v>
      </c>
      <c r="I15" s="34">
        <f>100/F15*12</f>
        <v>25</v>
      </c>
      <c r="J15" s="24" t="s">
        <v>57</v>
      </c>
      <c r="K15" s="35">
        <f>12-J15+1</f>
        <v>12</v>
      </c>
      <c r="L15" s="22">
        <f>C15*I15*K15/12/100</f>
        <v>442351.92331329733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>
        <f>L15+V15</f>
        <v>442351.92331329733</v>
      </c>
      <c r="X15" s="22">
        <f>IF(M15&gt;0,R15,C15)</f>
        <v>1769407.6932531893</v>
      </c>
      <c r="Y15" s="22">
        <f>IF(M15&gt;0,D15+M15,D15)</f>
        <v>1769407.6932531893</v>
      </c>
      <c r="Z15" s="86">
        <f>IF(O15&gt;0,O15,E15)</f>
        <v>48</v>
      </c>
      <c r="AA15" s="80">
        <f>IF(S15&gt;0,S15,F15)</f>
        <v>48</v>
      </c>
      <c r="AB15" s="22">
        <f>G15+W15</f>
        <v>884703.8466265947</v>
      </c>
      <c r="AC15" s="80">
        <f>IF(M15&gt;0,Q15+U15,H15+K15)</f>
        <v>24</v>
      </c>
      <c r="AD15" s="67">
        <f t="shared" si="0"/>
        <v>884703.8466265947</v>
      </c>
    </row>
    <row r="16" spans="1:30" ht="24">
      <c r="A16" s="54"/>
      <c r="B16" s="18" t="s">
        <v>107</v>
      </c>
      <c r="C16" s="22">
        <v>1253618.5907006809</v>
      </c>
      <c r="D16" s="22">
        <f>C16</f>
        <v>1253618.5907006809</v>
      </c>
      <c r="E16" s="47">
        <v>48</v>
      </c>
      <c r="F16" s="54">
        <f>E16</f>
        <v>48</v>
      </c>
      <c r="G16" s="43">
        <f t="shared" si="1"/>
        <v>313404.6476751702</v>
      </c>
      <c r="H16" s="41">
        <v>12</v>
      </c>
      <c r="I16" s="34">
        <f>100/F16*12</f>
        <v>25</v>
      </c>
      <c r="J16" s="24" t="s">
        <v>57</v>
      </c>
      <c r="K16" s="35">
        <f>12-J16+1</f>
        <v>12</v>
      </c>
      <c r="L16" s="22">
        <f>C16*I16*K16/12/100</f>
        <v>313404.6476751702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>
        <f>L16+V16</f>
        <v>313404.6476751702</v>
      </c>
      <c r="X16" s="22">
        <f>IF(M16&gt;0,R16,C16)</f>
        <v>1253618.5907006809</v>
      </c>
      <c r="Y16" s="22">
        <f>IF(M16&gt;0,D16+M16,D16)</f>
        <v>1253618.5907006809</v>
      </c>
      <c r="Z16" s="86">
        <f>IF(O16&gt;0,O16,E16)</f>
        <v>48</v>
      </c>
      <c r="AA16" s="80">
        <f>IF(S16&gt;0,S16,F16)</f>
        <v>48</v>
      </c>
      <c r="AB16" s="22">
        <f>G16+W16</f>
        <v>626809.2953503404</v>
      </c>
      <c r="AC16" s="80">
        <f>IF(M16&gt;0,Q16+U16,H16+K16)</f>
        <v>24</v>
      </c>
      <c r="AD16" s="67">
        <f t="shared" si="0"/>
        <v>626809.2953503404</v>
      </c>
    </row>
    <row r="17" spans="1:30" ht="36">
      <c r="A17" s="54"/>
      <c r="B17" s="18" t="s">
        <v>108</v>
      </c>
      <c r="C17" s="22">
        <v>13625</v>
      </c>
      <c r="D17" s="22">
        <v>13625</v>
      </c>
      <c r="E17" s="47">
        <v>36</v>
      </c>
      <c r="F17" s="54">
        <v>36</v>
      </c>
      <c r="G17" s="43">
        <f t="shared" si="1"/>
        <v>4541.666666666667</v>
      </c>
      <c r="H17" s="41">
        <v>12</v>
      </c>
      <c r="I17" s="34">
        <v>33.33333333333333</v>
      </c>
      <c r="J17" s="24" t="s">
        <v>57</v>
      </c>
      <c r="K17" s="35">
        <v>12</v>
      </c>
      <c r="L17" s="22">
        <v>4541.666666666667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>
        <v>4541.666666666667</v>
      </c>
      <c r="X17" s="22">
        <f>IF(M17&gt;0,R17,C17)</f>
        <v>13625</v>
      </c>
      <c r="Y17" s="22">
        <f>IF(M17&gt;0,D17+M17,D17)</f>
        <v>13625</v>
      </c>
      <c r="Z17" s="86">
        <f>IF(O17&gt;0,O17,E17)</f>
        <v>36</v>
      </c>
      <c r="AA17" s="80">
        <f>IF(S17&gt;0,S17,F17)</f>
        <v>36</v>
      </c>
      <c r="AB17" s="22">
        <f>G17+W17</f>
        <v>9083.333333333334</v>
      </c>
      <c r="AC17" s="80">
        <f>IF(M17&gt;0,Q17+U17,H17+K17)</f>
        <v>24</v>
      </c>
      <c r="AD17" s="67">
        <f t="shared" si="0"/>
        <v>4541.666666666665</v>
      </c>
    </row>
    <row r="18" spans="1:30" ht="30">
      <c r="A18" s="54"/>
      <c r="B18" s="72" t="s">
        <v>109</v>
      </c>
      <c r="C18" s="22">
        <v>12300</v>
      </c>
      <c r="D18" s="22">
        <v>12300</v>
      </c>
      <c r="E18" s="47">
        <v>36</v>
      </c>
      <c r="F18" s="54">
        <v>36</v>
      </c>
      <c r="G18" s="43">
        <f t="shared" si="1"/>
        <v>4100</v>
      </c>
      <c r="H18" s="41">
        <v>12</v>
      </c>
      <c r="I18" s="34">
        <v>33.33333333333333</v>
      </c>
      <c r="J18" s="24" t="s">
        <v>57</v>
      </c>
      <c r="K18" s="35">
        <v>12</v>
      </c>
      <c r="L18" s="22">
        <v>4099.999999999999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>
        <v>4099.999999999999</v>
      </c>
      <c r="X18" s="22">
        <f>IF(M18&gt;0,R18,C18)</f>
        <v>12300</v>
      </c>
      <c r="Y18" s="22">
        <f>IF(M18&gt;0,D18+M18,D18)</f>
        <v>12300</v>
      </c>
      <c r="Z18" s="86">
        <f>IF(O18&gt;0,O18,E18)</f>
        <v>36</v>
      </c>
      <c r="AA18" s="80">
        <f>IF(S18&gt;0,S18,F18)</f>
        <v>36</v>
      </c>
      <c r="AB18" s="22">
        <f>G18+W18</f>
        <v>8200</v>
      </c>
      <c r="AC18" s="80">
        <f>IF(M18&gt;0,Q18+U18,H18+K18)</f>
        <v>24</v>
      </c>
      <c r="AD18" s="67">
        <f t="shared" si="0"/>
        <v>4100.000000000001</v>
      </c>
    </row>
    <row r="19" spans="1:29" ht="14.25" customHeight="1">
      <c r="A19" s="63" t="s">
        <v>68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</row>
    <row r="20" spans="1:30" ht="24">
      <c r="A20" s="54"/>
      <c r="B20" s="18" t="s">
        <v>112</v>
      </c>
      <c r="C20" s="22">
        <v>24423</v>
      </c>
      <c r="D20" s="22">
        <f>C20</f>
        <v>24423</v>
      </c>
      <c r="E20" s="47">
        <v>48</v>
      </c>
      <c r="F20" s="54">
        <f>E20</f>
        <v>48</v>
      </c>
      <c r="G20" s="21"/>
      <c r="H20" s="21"/>
      <c r="I20" s="34">
        <f>100/F20*12</f>
        <v>25</v>
      </c>
      <c r="J20" s="24" t="s">
        <v>65</v>
      </c>
      <c r="K20" s="35">
        <f>12-J20+1</f>
        <v>8</v>
      </c>
      <c r="L20" s="22">
        <f>C20*I20*K20/12/100</f>
        <v>4070.5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>
        <f>L20+V20</f>
        <v>4070.5</v>
      </c>
      <c r="X20" s="22">
        <f>IF(M20&gt;0,R20,C20)</f>
        <v>24423</v>
      </c>
      <c r="Y20" s="22">
        <f>IF(M20&gt;0,D20+M20,D20)</f>
        <v>24423</v>
      </c>
      <c r="Z20" s="86">
        <f>IF(O20&gt;0,O20,E20)</f>
        <v>48</v>
      </c>
      <c r="AA20" s="80">
        <f>IF(S20&gt;0,S20,F20)</f>
        <v>48</v>
      </c>
      <c r="AB20" s="22">
        <f>G20+W20</f>
        <v>4070.5</v>
      </c>
      <c r="AC20" s="80">
        <f>IF(M20&gt;0,Q20+U20,H20+K20)</f>
        <v>8</v>
      </c>
      <c r="AD20" s="67">
        <f>IF((Y20-G20-W20)&gt;0,Y20-G20-W20,0)</f>
        <v>20352.5</v>
      </c>
    </row>
    <row r="21" spans="1:30" ht="21.75" customHeight="1">
      <c r="A21" s="25"/>
      <c r="B21" s="18" t="s">
        <v>113</v>
      </c>
      <c r="C21" s="22">
        <v>20616</v>
      </c>
      <c r="D21" s="22">
        <f>C21</f>
        <v>20616</v>
      </c>
      <c r="E21" s="47">
        <v>48</v>
      </c>
      <c r="F21" s="54">
        <f>E21</f>
        <v>48</v>
      </c>
      <c r="G21" s="21"/>
      <c r="H21" s="21"/>
      <c r="I21" s="34">
        <f>100/F21*12</f>
        <v>25</v>
      </c>
      <c r="J21" s="24" t="s">
        <v>60</v>
      </c>
      <c r="K21" s="35">
        <f>12-J21+1</f>
        <v>6</v>
      </c>
      <c r="L21" s="22">
        <f>C21*I21*K21/12/100</f>
        <v>2577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>
        <f>L21+V21</f>
        <v>2577</v>
      </c>
      <c r="X21" s="22">
        <f>IF(M21&gt;0,R21,C21)</f>
        <v>20616</v>
      </c>
      <c r="Y21" s="22">
        <f>IF(M21&gt;0,D21+M21,D21)</f>
        <v>20616</v>
      </c>
      <c r="Z21" s="86">
        <f>IF(O21&gt;0,O21,E21)</f>
        <v>48</v>
      </c>
      <c r="AA21" s="80">
        <f>IF(S21&gt;0,S21,F21)</f>
        <v>48</v>
      </c>
      <c r="AB21" s="22">
        <f>G21+W21</f>
        <v>2577</v>
      </c>
      <c r="AC21" s="80">
        <f>IF(M21&gt;0,Q21+U21,H21+K21)</f>
        <v>6</v>
      </c>
      <c r="AD21" s="67">
        <f>IF((Y21-G21-W21)&gt;0,Y21-G21-W21,0)</f>
        <v>18039</v>
      </c>
    </row>
    <row r="22" spans="1:29" ht="14.25">
      <c r="A22" s="25"/>
      <c r="B22" s="18"/>
      <c r="C22" s="22"/>
      <c r="D22" s="22"/>
      <c r="E22" s="47"/>
      <c r="F22" s="54"/>
      <c r="G22" s="21"/>
      <c r="H22" s="21"/>
      <c r="I22" s="34"/>
      <c r="J22" s="24"/>
      <c r="K22" s="35"/>
      <c r="L22" s="22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22"/>
      <c r="Y22" s="22"/>
      <c r="Z22" s="54"/>
      <c r="AA22" s="54"/>
      <c r="AB22" s="22"/>
      <c r="AC22" s="54"/>
    </row>
    <row r="23" spans="1:29" ht="14.25" customHeight="1">
      <c r="A23" s="63" t="s">
        <v>69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5"/>
    </row>
    <row r="24" spans="1:30" ht="21">
      <c r="A24" s="56"/>
      <c r="B24" s="68" t="s">
        <v>110</v>
      </c>
      <c r="C24" s="22">
        <v>22000</v>
      </c>
      <c r="D24" s="22">
        <f>C24</f>
        <v>22000</v>
      </c>
      <c r="E24" s="47">
        <v>19</v>
      </c>
      <c r="F24" s="54">
        <v>19</v>
      </c>
      <c r="G24" s="21"/>
      <c r="H24" s="21"/>
      <c r="I24" s="34">
        <f>100/F24*12</f>
        <v>63.15789473684211</v>
      </c>
      <c r="J24" s="24" t="s">
        <v>65</v>
      </c>
      <c r="K24" s="35">
        <f>12-J24+1</f>
        <v>8</v>
      </c>
      <c r="L24" s="22">
        <f>C24*I24*K24/12/100</f>
        <v>9263.157894736843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>
        <f>L24+V24</f>
        <v>9263.157894736843</v>
      </c>
      <c r="X24" s="22">
        <f>IF(M24&gt;0,R24,C24)</f>
        <v>22000</v>
      </c>
      <c r="Y24" s="22">
        <f>IF(M24&gt;0,D24+M24,D24)</f>
        <v>22000</v>
      </c>
      <c r="Z24" s="86">
        <f>IF(O24&gt;0,O24,E24)</f>
        <v>19</v>
      </c>
      <c r="AA24" s="80">
        <f>IF(S24&gt;0,S24,F24)</f>
        <v>19</v>
      </c>
      <c r="AB24" s="22">
        <f>G24+W24</f>
        <v>9263.157894736843</v>
      </c>
      <c r="AC24" s="80">
        <f>IF(M24&gt;0,Q24+U24,H24+K24)</f>
        <v>8</v>
      </c>
      <c r="AD24" s="67">
        <f>IF((Y24-G24-W24)&gt;0,Y24-G24-W24,0)</f>
        <v>12736.842105263157</v>
      </c>
    </row>
    <row r="25" spans="1:30" ht="20.25" customHeight="1">
      <c r="A25" s="98"/>
      <c r="B25" s="100" t="s">
        <v>111</v>
      </c>
      <c r="C25" s="22">
        <v>3300</v>
      </c>
      <c r="D25" s="22">
        <v>3300</v>
      </c>
      <c r="E25" s="47">
        <v>44</v>
      </c>
      <c r="F25" s="54">
        <v>44</v>
      </c>
      <c r="G25" s="21"/>
      <c r="H25" s="21"/>
      <c r="I25" s="34">
        <f>100/F25*12</f>
        <v>27.272727272727273</v>
      </c>
      <c r="J25" s="24" t="s">
        <v>58</v>
      </c>
      <c r="K25" s="35">
        <f>12-J25+1</f>
        <v>10</v>
      </c>
      <c r="L25" s="22">
        <f>C25*I25*K25/12/100</f>
        <v>750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>
        <f>L25+V25</f>
        <v>750</v>
      </c>
      <c r="X25" s="22">
        <f>IF(M25&gt;0,R25,C25)</f>
        <v>3300</v>
      </c>
      <c r="Y25" s="22">
        <f>IF(M25&gt;0,D25+M25,D25)</f>
        <v>3300</v>
      </c>
      <c r="Z25" s="86">
        <f>IF(O25&gt;0,O25,E25)</f>
        <v>44</v>
      </c>
      <c r="AA25" s="80">
        <f>IF(S25&gt;0,S25,F25)</f>
        <v>44</v>
      </c>
      <c r="AB25" s="22">
        <f>G25+W25</f>
        <v>750</v>
      </c>
      <c r="AC25" s="80">
        <f>IF(M25&gt;0,Q25+U25,H25+K25)</f>
        <v>10</v>
      </c>
      <c r="AD25" s="67">
        <f>IF((Y25-G25-W25)&gt;0,Y25-G25-W25,0)</f>
        <v>2550</v>
      </c>
    </row>
    <row r="26" spans="1:30" ht="24.75" customHeight="1">
      <c r="A26" s="99"/>
      <c r="B26" s="101"/>
      <c r="C26" s="22">
        <v>5200</v>
      </c>
      <c r="D26" s="22">
        <v>5200</v>
      </c>
      <c r="E26" s="47">
        <v>36</v>
      </c>
      <c r="F26" s="54">
        <v>36</v>
      </c>
      <c r="G26" s="21"/>
      <c r="H26" s="21"/>
      <c r="I26" s="34">
        <f>100/F26*12</f>
        <v>33.33333333333333</v>
      </c>
      <c r="J26" s="24" t="s">
        <v>61</v>
      </c>
      <c r="K26" s="35">
        <f>12-J26+1</f>
        <v>2</v>
      </c>
      <c r="L26" s="22">
        <f>C26*I26*K26/12/100</f>
        <v>288.88888888888886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>
        <f>L26+V26</f>
        <v>288.88888888888886</v>
      </c>
      <c r="X26" s="22">
        <f>IF(M26&gt;0,R26,C26)</f>
        <v>5200</v>
      </c>
      <c r="Y26" s="22">
        <f>IF(M26&gt;0,D26+M26,D26)</f>
        <v>5200</v>
      </c>
      <c r="Z26" s="86">
        <f>IF(O26&gt;0,O26,E26)</f>
        <v>36</v>
      </c>
      <c r="AA26" s="80">
        <f>IF(S26&gt;0,S26,F26)</f>
        <v>36</v>
      </c>
      <c r="AB26" s="22">
        <f>G26+W26</f>
        <v>288.88888888888886</v>
      </c>
      <c r="AC26" s="80">
        <f>IF(M26&gt;0,Q26+U26,H26+K26)</f>
        <v>2</v>
      </c>
      <c r="AD26" s="67">
        <f>IF((Y26-G26-W26)&gt;0,Y26-G26-W26,0)</f>
        <v>4911.111111111111</v>
      </c>
    </row>
    <row r="27" spans="1:29" ht="14.25">
      <c r="A27" s="54"/>
      <c r="B27" s="21"/>
      <c r="C27" s="54"/>
      <c r="D27" s="21"/>
      <c r="E27" s="54"/>
      <c r="F27" s="54"/>
      <c r="G27" s="21"/>
      <c r="H27" s="21"/>
      <c r="I27" s="54"/>
      <c r="J27" s="54"/>
      <c r="K27" s="5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54"/>
      <c r="X27" s="54"/>
      <c r="Y27" s="54"/>
      <c r="Z27" s="54"/>
      <c r="AA27" s="54"/>
      <c r="AB27" s="54"/>
      <c r="AC27" s="54"/>
    </row>
    <row r="28" spans="1:29" ht="14.25">
      <c r="A28" s="102" t="s">
        <v>17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38">
        <f>SUM(W7:W27)</f>
        <v>1021915.7658682904</v>
      </c>
      <c r="X28" s="103"/>
      <c r="Y28" s="103"/>
      <c r="Z28" s="103"/>
      <c r="AA28" s="103"/>
      <c r="AB28" s="103"/>
      <c r="AC28" s="103"/>
    </row>
  </sheetData>
  <sheetProtection/>
  <mergeCells count="12">
    <mergeCell ref="A8:A9"/>
    <mergeCell ref="B8:B9"/>
    <mergeCell ref="X13:AC13"/>
    <mergeCell ref="A25:A26"/>
    <mergeCell ref="B25:B26"/>
    <mergeCell ref="A28:V28"/>
    <mergeCell ref="X28:AC28"/>
    <mergeCell ref="T1:V1"/>
    <mergeCell ref="A2:AD2"/>
    <mergeCell ref="A4:L4"/>
    <mergeCell ref="M4:V4"/>
    <mergeCell ref="X4:A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4">
      <pane xSplit="11" ySplit="3" topLeftCell="Q19" activePane="bottomRight" state="frozen"/>
      <selection pane="topLeft" activeCell="A4" sqref="A4"/>
      <selection pane="topRight" activeCell="L4" sqref="L4"/>
      <selection pane="bottomLeft" activeCell="A7" sqref="A7"/>
      <selection pane="bottomRight" activeCell="D22" sqref="D22"/>
    </sheetView>
  </sheetViews>
  <sheetFormatPr defaultColWidth="9.140625" defaultRowHeight="15"/>
  <cols>
    <col min="1" max="1" width="6.00390625" style="0" customWidth="1"/>
    <col min="2" max="2" width="20.57421875" style="0" customWidth="1"/>
    <col min="3" max="3" width="7.140625" style="0" customWidth="1"/>
    <col min="4" max="4" width="8.28125" style="0" customWidth="1"/>
    <col min="5" max="5" width="4.421875" style="0" customWidth="1"/>
    <col min="6" max="6" width="4.7109375" style="0" customWidth="1"/>
    <col min="7" max="8" width="7.28125" style="0" customWidth="1"/>
    <col min="9" max="11" width="7.140625" style="0" customWidth="1"/>
    <col min="12" max="12" width="7.28125" style="0" customWidth="1"/>
    <col min="13" max="13" width="7.57421875" style="0" customWidth="1"/>
    <col min="14" max="14" width="7.7109375" style="0" customWidth="1"/>
    <col min="15" max="15" width="7.28125" style="0" customWidth="1"/>
    <col min="16" max="16" width="7.57421875" style="0" customWidth="1"/>
    <col min="17" max="19" width="7.28125" style="0" customWidth="1"/>
    <col min="20" max="20" width="7.140625" style="0" customWidth="1"/>
    <col min="21" max="22" width="7.00390625" style="0" customWidth="1"/>
    <col min="26" max="27" width="8.8515625" style="0" customWidth="1"/>
  </cols>
  <sheetData>
    <row r="1" spans="2:29" ht="15">
      <c r="B1" s="19"/>
      <c r="O1" s="19"/>
      <c r="R1" s="19"/>
      <c r="T1" s="104"/>
      <c r="U1" s="104"/>
      <c r="V1" s="104"/>
      <c r="AC1" s="19"/>
    </row>
    <row r="2" spans="1:30" ht="15" customHeight="1">
      <c r="A2" s="105" t="s">
        <v>98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4" spans="1:29" ht="14.25">
      <c r="A4" s="106" t="s">
        <v>71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 t="s">
        <v>72</v>
      </c>
      <c r="N4" s="106"/>
      <c r="O4" s="106"/>
      <c r="P4" s="106"/>
      <c r="Q4" s="106"/>
      <c r="R4" s="106"/>
      <c r="S4" s="106"/>
      <c r="T4" s="106"/>
      <c r="U4" s="106"/>
      <c r="V4" s="106"/>
      <c r="W4" s="83" t="s">
        <v>73</v>
      </c>
      <c r="X4" s="107" t="s">
        <v>74</v>
      </c>
      <c r="Y4" s="107"/>
      <c r="Z4" s="107"/>
      <c r="AA4" s="107"/>
      <c r="AB4" s="107"/>
      <c r="AC4" s="107"/>
    </row>
    <row r="5" spans="1:30" ht="144.75" customHeight="1">
      <c r="A5" s="84" t="s">
        <v>75</v>
      </c>
      <c r="B5" s="84" t="s">
        <v>76</v>
      </c>
      <c r="C5" s="84" t="s">
        <v>77</v>
      </c>
      <c r="D5" s="84" t="s">
        <v>78</v>
      </c>
      <c r="E5" s="84" t="s">
        <v>79</v>
      </c>
      <c r="F5" s="71" t="s">
        <v>80</v>
      </c>
      <c r="G5" s="84" t="s">
        <v>81</v>
      </c>
      <c r="H5" s="71" t="s">
        <v>82</v>
      </c>
      <c r="I5" s="84" t="s">
        <v>83</v>
      </c>
      <c r="J5" s="84" t="s">
        <v>84</v>
      </c>
      <c r="K5" s="84" t="s">
        <v>85</v>
      </c>
      <c r="L5" s="84" t="s">
        <v>86</v>
      </c>
      <c r="M5" s="84" t="s">
        <v>87</v>
      </c>
      <c r="N5" s="84" t="s">
        <v>84</v>
      </c>
      <c r="O5" s="84" t="s">
        <v>88</v>
      </c>
      <c r="P5" s="84" t="s">
        <v>89</v>
      </c>
      <c r="Q5" s="84" t="s">
        <v>90</v>
      </c>
      <c r="R5" s="84" t="s">
        <v>91</v>
      </c>
      <c r="S5" s="84" t="s">
        <v>92</v>
      </c>
      <c r="T5" s="84" t="s">
        <v>93</v>
      </c>
      <c r="U5" s="84" t="s">
        <v>94</v>
      </c>
      <c r="V5" s="84" t="s">
        <v>86</v>
      </c>
      <c r="W5" s="84" t="s">
        <v>95</v>
      </c>
      <c r="X5" s="84" t="s">
        <v>77</v>
      </c>
      <c r="Y5" s="84" t="s">
        <v>78</v>
      </c>
      <c r="Z5" s="84" t="s">
        <v>79</v>
      </c>
      <c r="AA5" s="84" t="s">
        <v>80</v>
      </c>
      <c r="AB5" s="84" t="s">
        <v>96</v>
      </c>
      <c r="AC5" s="84" t="s">
        <v>97</v>
      </c>
      <c r="AD5" s="79" t="s">
        <v>144</v>
      </c>
    </row>
    <row r="6" spans="1:29" ht="14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3">
        <v>19</v>
      </c>
      <c r="T6" s="20">
        <v>20</v>
      </c>
      <c r="U6" s="20">
        <v>21</v>
      </c>
      <c r="V6" s="20">
        <v>22</v>
      </c>
      <c r="W6" s="20">
        <v>23</v>
      </c>
      <c r="X6" s="20">
        <v>24</v>
      </c>
      <c r="Y6" s="20">
        <v>25</v>
      </c>
      <c r="Z6" s="20">
        <v>26</v>
      </c>
      <c r="AA6" s="20">
        <v>27</v>
      </c>
      <c r="AB6" s="20">
        <v>28</v>
      </c>
      <c r="AC6" s="20">
        <v>29</v>
      </c>
    </row>
    <row r="7" spans="1:30" ht="15" customHeight="1">
      <c r="A7" s="41"/>
      <c r="B7" s="42" t="s">
        <v>99</v>
      </c>
      <c r="C7" s="43">
        <f>'Registru 2022'!X7</f>
        <v>830797</v>
      </c>
      <c r="D7" s="43">
        <f>'Registru 2022'!Y7</f>
        <v>830797</v>
      </c>
      <c r="E7" s="43">
        <f>'Registru 2022'!Z7</f>
        <v>300</v>
      </c>
      <c r="F7" s="43">
        <f>'Registru 2022'!AA7</f>
        <v>300</v>
      </c>
      <c r="G7" s="50">
        <f>'Registru 2022'!AB7</f>
        <v>73523.09677811549</v>
      </c>
      <c r="H7" s="41">
        <f>'Registru 2022'!AC7</f>
        <v>24</v>
      </c>
      <c r="I7" s="45">
        <f>100/F7*12</f>
        <v>4</v>
      </c>
      <c r="J7" s="24" t="s">
        <v>57</v>
      </c>
      <c r="K7" s="35">
        <v>7</v>
      </c>
      <c r="L7" s="22">
        <f>C7*I7*K7/12/100</f>
        <v>19385.263333333332</v>
      </c>
      <c r="M7" s="36">
        <v>564200</v>
      </c>
      <c r="N7" s="24" t="s">
        <v>66</v>
      </c>
      <c r="O7" s="21">
        <f>F7+3*12</f>
        <v>336</v>
      </c>
      <c r="P7" s="36">
        <f>G7+L7</f>
        <v>92908.36011144883</v>
      </c>
      <c r="Q7" s="37">
        <f>K7+H7</f>
        <v>31</v>
      </c>
      <c r="R7" s="36">
        <f>D7-P7+M7</f>
        <v>1302088.639888551</v>
      </c>
      <c r="S7" s="37">
        <f>O7-Q7</f>
        <v>305</v>
      </c>
      <c r="T7" s="46">
        <f>100/S7*12</f>
        <v>3.9344262295081966</v>
      </c>
      <c r="U7" s="21">
        <v>5</v>
      </c>
      <c r="V7" s="36">
        <f>R7*T7/100*U7/12</f>
        <v>21345.715408009033</v>
      </c>
      <c r="W7" s="22">
        <f>L7+V7</f>
        <v>40730.97874134236</v>
      </c>
      <c r="X7" s="22">
        <f aca="true" t="shared" si="0" ref="X7:X18">IF(M7&gt;0,R7,C7)</f>
        <v>1302088.639888551</v>
      </c>
      <c r="Y7" s="22">
        <f aca="true" t="shared" si="1" ref="Y7:Y18">IF(M7&gt;0,D7+M7,D7)</f>
        <v>1394997</v>
      </c>
      <c r="Z7" s="86">
        <f aca="true" t="shared" si="2" ref="Z7:Z18">IF(O7&gt;0,O7,E7)</f>
        <v>336</v>
      </c>
      <c r="AA7" s="86">
        <f aca="true" t="shared" si="3" ref="AA7:AA18">IF(S7&gt;0,S7,F7)</f>
        <v>305</v>
      </c>
      <c r="AB7" s="22">
        <f aca="true" t="shared" si="4" ref="AB7:AB18">G7+W7</f>
        <v>114254.07551945785</v>
      </c>
      <c r="AC7" s="86">
        <f aca="true" t="shared" si="5" ref="AC7:AC18">IF(M7&gt;0,Q7+U7,H7+K7)</f>
        <v>36</v>
      </c>
      <c r="AD7" s="67">
        <f>IF((Y7-G7-W7)&gt;0,Y7-G7-W7,0)</f>
        <v>1280742.924480542</v>
      </c>
    </row>
    <row r="8" spans="1:30" ht="27.75" customHeight="1">
      <c r="A8" s="41"/>
      <c r="B8" s="66" t="str">
        <f>'[1]Registru 2021'!B8</f>
        <v>Асфальтовое покрытие территория офиса</v>
      </c>
      <c r="C8" s="43">
        <f>'Registru 2022'!X9</f>
        <v>756144.7428048527</v>
      </c>
      <c r="D8" s="43">
        <f>'Registru 2022'!Y9</f>
        <v>765165.4270695774</v>
      </c>
      <c r="E8" s="43">
        <f>'Registru 2022'!Z9</f>
        <v>168</v>
      </c>
      <c r="F8" s="43">
        <f>'Registru 2022'!AA9</f>
        <v>209</v>
      </c>
      <c r="G8" s="50">
        <f>'Registru 2022'!AB9</f>
        <v>18089.587148441453</v>
      </c>
      <c r="H8" s="41">
        <f>'Registru 2022'!AC9</f>
        <v>24</v>
      </c>
      <c r="I8" s="45">
        <f>100/F8*12</f>
        <v>5.741626794258373</v>
      </c>
      <c r="J8" s="24" t="s">
        <v>57</v>
      </c>
      <c r="K8" s="35">
        <f aca="true" t="shared" si="6" ref="K8:K18">12-J8+1</f>
        <v>12</v>
      </c>
      <c r="L8" s="22">
        <f>C8*I8*K8/12/100</f>
        <v>43415.00915625948</v>
      </c>
      <c r="M8" s="36"/>
      <c r="N8" s="24"/>
      <c r="O8" s="21"/>
      <c r="P8" s="36"/>
      <c r="Q8" s="37"/>
      <c r="R8" s="36"/>
      <c r="S8" s="37"/>
      <c r="T8" s="46"/>
      <c r="U8" s="21"/>
      <c r="V8" s="36"/>
      <c r="W8" s="22">
        <f>L8+V8</f>
        <v>43415.00915625948</v>
      </c>
      <c r="X8" s="22">
        <f t="shared" si="0"/>
        <v>756144.7428048527</v>
      </c>
      <c r="Y8" s="22">
        <f t="shared" si="1"/>
        <v>765165.4270695774</v>
      </c>
      <c r="Z8" s="86">
        <f t="shared" si="2"/>
        <v>168</v>
      </c>
      <c r="AA8" s="86">
        <f t="shared" si="3"/>
        <v>209</v>
      </c>
      <c r="AB8" s="22">
        <f t="shared" si="4"/>
        <v>61504.596304700935</v>
      </c>
      <c r="AC8" s="86">
        <f t="shared" si="5"/>
        <v>36</v>
      </c>
      <c r="AD8" s="67">
        <f aca="true" t="shared" si="7" ref="AD8:AD31">IF((Y8-G8-W8)&gt;0,Y8-G8-W8,0)</f>
        <v>703660.8307648764</v>
      </c>
    </row>
    <row r="9" spans="1:30" ht="22.5" customHeight="1">
      <c r="A9" s="41"/>
      <c r="B9" s="42" t="str">
        <f>'[1]Registru 2021'!B10</f>
        <v>Поддерживающие и защитные сооружения  бетонные (галереи)</v>
      </c>
      <c r="C9" s="43">
        <f>'Registru 2022'!X10</f>
        <v>531200</v>
      </c>
      <c r="D9" s="43">
        <f>'Registru 2022'!Y10</f>
        <v>531200</v>
      </c>
      <c r="E9" s="43">
        <f>'Registru 2022'!Z10</f>
        <v>240</v>
      </c>
      <c r="F9" s="43">
        <f>'Registru 2022'!AA10</f>
        <v>240</v>
      </c>
      <c r="G9" s="50">
        <f>'Registru 2022'!AB10</f>
        <v>53120</v>
      </c>
      <c r="H9" s="41">
        <f>'Registru 2022'!AC10</f>
        <v>24</v>
      </c>
      <c r="I9" s="45">
        <f>100/F9*12</f>
        <v>5</v>
      </c>
      <c r="J9" s="24" t="s">
        <v>57</v>
      </c>
      <c r="K9" s="35">
        <f t="shared" si="6"/>
        <v>12</v>
      </c>
      <c r="L9" s="22">
        <f>C9*I9*K9/12/100</f>
        <v>26560</v>
      </c>
      <c r="M9" s="36"/>
      <c r="N9" s="24"/>
      <c r="O9" s="21"/>
      <c r="P9" s="36"/>
      <c r="Q9" s="37"/>
      <c r="R9" s="36"/>
      <c r="S9" s="37"/>
      <c r="T9" s="46"/>
      <c r="U9" s="21"/>
      <c r="V9" s="36"/>
      <c r="W9" s="22">
        <f>L9+V9</f>
        <v>26560</v>
      </c>
      <c r="X9" s="22">
        <f t="shared" si="0"/>
        <v>531200</v>
      </c>
      <c r="Y9" s="22">
        <f t="shared" si="1"/>
        <v>531200</v>
      </c>
      <c r="Z9" s="86">
        <f t="shared" si="2"/>
        <v>240</v>
      </c>
      <c r="AA9" s="86">
        <f t="shared" si="3"/>
        <v>240</v>
      </c>
      <c r="AB9" s="22">
        <f t="shared" si="4"/>
        <v>79680</v>
      </c>
      <c r="AC9" s="86">
        <f t="shared" si="5"/>
        <v>36</v>
      </c>
      <c r="AD9" s="67">
        <f t="shared" si="7"/>
        <v>451520</v>
      </c>
    </row>
    <row r="10" spans="1:30" ht="12.75" customHeight="1">
      <c r="A10" s="41"/>
      <c r="B10" s="42" t="str">
        <f>'[1]Registru 2021'!B11</f>
        <v>Трубопровод чугунный</v>
      </c>
      <c r="C10" s="43">
        <f>'Registru 2022'!X11</f>
        <v>177926</v>
      </c>
      <c r="D10" s="43">
        <f>'Registru 2022'!Y11</f>
        <v>177926</v>
      </c>
      <c r="E10" s="43">
        <f>'Registru 2022'!Z11</f>
        <v>36</v>
      </c>
      <c r="F10" s="43">
        <f>'Registru 2022'!AA11</f>
        <v>36</v>
      </c>
      <c r="G10" s="50">
        <f>'Registru 2022'!AB11</f>
        <v>118617.33333333334</v>
      </c>
      <c r="H10" s="41">
        <f>'Registru 2022'!AC11</f>
        <v>24</v>
      </c>
      <c r="I10" s="45">
        <f aca="true" t="shared" si="8" ref="I10:I16">100/F10*12</f>
        <v>33.33333333333333</v>
      </c>
      <c r="J10" s="24" t="s">
        <v>57</v>
      </c>
      <c r="K10" s="35">
        <f t="shared" si="6"/>
        <v>12</v>
      </c>
      <c r="L10" s="22">
        <f aca="true" t="shared" si="9" ref="L10:L16">C10*I10*K10/12/100</f>
        <v>59308.66666666667</v>
      </c>
      <c r="M10" s="36"/>
      <c r="N10" s="24"/>
      <c r="O10" s="21"/>
      <c r="P10" s="36"/>
      <c r="Q10" s="37"/>
      <c r="R10" s="36"/>
      <c r="S10" s="37"/>
      <c r="T10" s="46"/>
      <c r="U10" s="21"/>
      <c r="V10" s="36"/>
      <c r="W10" s="22">
        <f>L10+V10</f>
        <v>59308.66666666667</v>
      </c>
      <c r="X10" s="22">
        <f t="shared" si="0"/>
        <v>177926</v>
      </c>
      <c r="Y10" s="22">
        <f t="shared" si="1"/>
        <v>177926</v>
      </c>
      <c r="Z10" s="86">
        <f t="shared" si="2"/>
        <v>36</v>
      </c>
      <c r="AA10" s="86">
        <f t="shared" si="3"/>
        <v>36</v>
      </c>
      <c r="AB10" s="22">
        <f t="shared" si="4"/>
        <v>177926</v>
      </c>
      <c r="AC10" s="86">
        <f t="shared" si="5"/>
        <v>36</v>
      </c>
      <c r="AD10" s="67">
        <f t="shared" si="7"/>
        <v>0</v>
      </c>
    </row>
    <row r="11" spans="1:30" ht="12.75" customHeight="1">
      <c r="A11" s="86"/>
      <c r="B11" s="17" t="str">
        <f>'[1]Registru 2021'!B12</f>
        <v>склад 1 (инвестиции, наем)</v>
      </c>
      <c r="C11" s="43">
        <f>'Registru 2022'!X12</f>
        <v>114302</v>
      </c>
      <c r="D11" s="43">
        <f>'Registru 2022'!Y12</f>
        <v>114302</v>
      </c>
      <c r="E11" s="43">
        <f>'Registru 2022'!Z12</f>
        <v>24</v>
      </c>
      <c r="F11" s="43">
        <f>'Registru 2022'!AA12</f>
        <v>24</v>
      </c>
      <c r="G11" s="50">
        <f>'Registru 2022'!AB12</f>
        <v>114302</v>
      </c>
      <c r="H11" s="41">
        <f>'Registru 2022'!AC12</f>
        <v>24</v>
      </c>
      <c r="I11" s="45">
        <f t="shared" si="8"/>
        <v>50</v>
      </c>
      <c r="J11" s="24" t="s">
        <v>57</v>
      </c>
      <c r="K11" s="35">
        <f t="shared" si="6"/>
        <v>12</v>
      </c>
      <c r="L11" s="22">
        <f t="shared" si="9"/>
        <v>57151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>
        <f aca="true" t="shared" si="10" ref="W11:W31">L11+V11</f>
        <v>57151</v>
      </c>
      <c r="X11" s="22">
        <f t="shared" si="0"/>
        <v>114302</v>
      </c>
      <c r="Y11" s="22">
        <f t="shared" si="1"/>
        <v>114302</v>
      </c>
      <c r="Z11" s="86">
        <f t="shared" si="2"/>
        <v>24</v>
      </c>
      <c r="AA11" s="86">
        <f t="shared" si="3"/>
        <v>24</v>
      </c>
      <c r="AB11" s="22">
        <f t="shared" si="4"/>
        <v>171453</v>
      </c>
      <c r="AC11" s="86">
        <f t="shared" si="5"/>
        <v>36</v>
      </c>
      <c r="AD11" s="67">
        <f t="shared" si="7"/>
        <v>0</v>
      </c>
    </row>
    <row r="12" spans="1:30" ht="12.75" customHeight="1">
      <c r="A12" s="86"/>
      <c r="B12" s="18" t="str">
        <f>'[1]Registru 2021'!B14</f>
        <v>Легковой автомобиль Audi</v>
      </c>
      <c r="C12" s="43">
        <f>'Registru 2022'!X14</f>
        <v>68600</v>
      </c>
      <c r="D12" s="43">
        <f>'Registru 2022'!Y14</f>
        <v>68600</v>
      </c>
      <c r="E12" s="43">
        <f>'Registru 2022'!Z14</f>
        <v>48</v>
      </c>
      <c r="F12" s="43">
        <f>'Registru 2022'!AA14</f>
        <v>48</v>
      </c>
      <c r="G12" s="50">
        <f>'Registru 2022'!AB14</f>
        <v>34300</v>
      </c>
      <c r="H12" s="41">
        <f>'Registru 2022'!AC14</f>
        <v>24</v>
      </c>
      <c r="I12" s="45">
        <f t="shared" si="8"/>
        <v>25</v>
      </c>
      <c r="J12" s="24" t="s">
        <v>57</v>
      </c>
      <c r="K12" s="35">
        <v>4</v>
      </c>
      <c r="L12" s="22">
        <f t="shared" si="9"/>
        <v>5716.666666666666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2">
        <f t="shared" si="10"/>
        <v>5716.666666666666</v>
      </c>
      <c r="X12" s="113" t="s">
        <v>145</v>
      </c>
      <c r="Y12" s="114"/>
      <c r="Z12" s="114"/>
      <c r="AA12" s="114"/>
      <c r="AB12" s="114"/>
      <c r="AC12" s="115"/>
      <c r="AD12" s="67">
        <f>D12-G12-W12</f>
        <v>28583.333333333336</v>
      </c>
    </row>
    <row r="13" spans="1:30" ht="24.75" customHeight="1">
      <c r="A13" s="86"/>
      <c r="B13" s="18" t="str">
        <f>'[1]Registru 2021'!B16</f>
        <v>Погрузчик Komatsu FG18T 619530</v>
      </c>
      <c r="C13" s="43">
        <f>'Registru 2022'!X15</f>
        <v>1769407.6932531893</v>
      </c>
      <c r="D13" s="43">
        <f>'Registru 2022'!Y15</f>
        <v>1769407.6932531893</v>
      </c>
      <c r="E13" s="43">
        <f>'Registru 2022'!Z15</f>
        <v>48</v>
      </c>
      <c r="F13" s="43">
        <f>'Registru 2022'!AA15</f>
        <v>48</v>
      </c>
      <c r="G13" s="50">
        <f>'Registru 2022'!AB15</f>
        <v>884703.8466265947</v>
      </c>
      <c r="H13" s="41">
        <f>'Registru 2022'!AC15</f>
        <v>24</v>
      </c>
      <c r="I13" s="45">
        <f t="shared" si="8"/>
        <v>25</v>
      </c>
      <c r="J13" s="24" t="s">
        <v>57</v>
      </c>
      <c r="K13" s="35">
        <v>11</v>
      </c>
      <c r="L13" s="22">
        <f t="shared" si="9"/>
        <v>405489.26303718926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>
        <f t="shared" si="10"/>
        <v>405489.26303718926</v>
      </c>
      <c r="X13" s="113" t="s">
        <v>145</v>
      </c>
      <c r="Y13" s="114"/>
      <c r="Z13" s="114"/>
      <c r="AA13" s="114"/>
      <c r="AB13" s="114"/>
      <c r="AC13" s="115"/>
      <c r="AD13" s="67">
        <f>D13-G13-W13</f>
        <v>479214.5835894054</v>
      </c>
    </row>
    <row r="14" spans="1:30" ht="24.75" customHeight="1">
      <c r="A14" s="86"/>
      <c r="B14" s="18" t="str">
        <f>'[1]Registru 2021'!B17</f>
        <v>Станок полировочный SMR-1,05 CB 15863</v>
      </c>
      <c r="C14" s="43">
        <f>'Registru 2022'!X16</f>
        <v>1253618.5907006809</v>
      </c>
      <c r="D14" s="43">
        <f>'Registru 2022'!Y16</f>
        <v>1253618.5907006809</v>
      </c>
      <c r="E14" s="43">
        <f>'Registru 2022'!Z16</f>
        <v>48</v>
      </c>
      <c r="F14" s="43">
        <f>'Registru 2022'!AA16</f>
        <v>48</v>
      </c>
      <c r="G14" s="50">
        <f>'Registru 2022'!AB16</f>
        <v>626809.2953503404</v>
      </c>
      <c r="H14" s="41">
        <f>'Registru 2022'!AC16</f>
        <v>24</v>
      </c>
      <c r="I14" s="45">
        <f t="shared" si="8"/>
        <v>25</v>
      </c>
      <c r="J14" s="24" t="s">
        <v>57</v>
      </c>
      <c r="K14" s="35">
        <v>10</v>
      </c>
      <c r="L14" s="22">
        <f t="shared" si="9"/>
        <v>261170.5397293085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2">
        <f t="shared" si="10"/>
        <v>261170.5397293085</v>
      </c>
      <c r="X14" s="113" t="s">
        <v>67</v>
      </c>
      <c r="Y14" s="114"/>
      <c r="Z14" s="114"/>
      <c r="AA14" s="114"/>
      <c r="AB14" s="114"/>
      <c r="AC14" s="115"/>
      <c r="AD14" s="67">
        <f>D14-G14-W14</f>
        <v>365638.7556210319</v>
      </c>
    </row>
    <row r="15" spans="1:30" ht="39" customHeight="1">
      <c r="A15" s="86"/>
      <c r="B15" s="18" t="str">
        <f>'[1]Registru 2021'!B18</f>
        <v>Станок по фасонной обработке камня MAKITA (инвестиции, наем)</v>
      </c>
      <c r="C15" s="43">
        <f>'Registru 2022'!X17</f>
        <v>13625</v>
      </c>
      <c r="D15" s="43">
        <f>'Registru 2022'!Y17</f>
        <v>13625</v>
      </c>
      <c r="E15" s="43">
        <f>'Registru 2022'!Z17</f>
        <v>36</v>
      </c>
      <c r="F15" s="43">
        <f>'Registru 2022'!AA17</f>
        <v>36</v>
      </c>
      <c r="G15" s="50">
        <f>'Registru 2022'!AB17</f>
        <v>9083.333333333334</v>
      </c>
      <c r="H15" s="41">
        <f>'Registru 2022'!AC17</f>
        <v>24</v>
      </c>
      <c r="I15" s="45">
        <f t="shared" si="8"/>
        <v>33.33333333333333</v>
      </c>
      <c r="J15" s="24" t="s">
        <v>57</v>
      </c>
      <c r="K15" s="35">
        <f t="shared" si="6"/>
        <v>12</v>
      </c>
      <c r="L15" s="22">
        <f t="shared" si="9"/>
        <v>4541.666666666667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>
        <f t="shared" si="10"/>
        <v>4541.666666666667</v>
      </c>
      <c r="X15" s="22">
        <f t="shared" si="0"/>
        <v>13625</v>
      </c>
      <c r="Y15" s="22">
        <f t="shared" si="1"/>
        <v>13625</v>
      </c>
      <c r="Z15" s="86">
        <f t="shared" si="2"/>
        <v>36</v>
      </c>
      <c r="AA15" s="86">
        <f t="shared" si="3"/>
        <v>36</v>
      </c>
      <c r="AB15" s="22">
        <f t="shared" si="4"/>
        <v>13625</v>
      </c>
      <c r="AC15" s="86">
        <f t="shared" si="5"/>
        <v>36</v>
      </c>
      <c r="AD15" s="67">
        <f t="shared" si="7"/>
        <v>0</v>
      </c>
    </row>
    <row r="16" spans="1:30" ht="36">
      <c r="A16" s="86"/>
      <c r="B16" s="18" t="str">
        <f>'[1]Registru 2021'!B19</f>
        <v>трактор, управляемый рядом идущим водителем (из консервации)</v>
      </c>
      <c r="C16" s="43">
        <f>'Registru 2022'!X18</f>
        <v>12300</v>
      </c>
      <c r="D16" s="43">
        <f>'Registru 2022'!Y18</f>
        <v>12300</v>
      </c>
      <c r="E16" s="43">
        <f>'Registru 2022'!Z18</f>
        <v>36</v>
      </c>
      <c r="F16" s="43">
        <f>'Registru 2022'!AA18</f>
        <v>36</v>
      </c>
      <c r="G16" s="50">
        <f>'Registru 2022'!AB18</f>
        <v>8200</v>
      </c>
      <c r="H16" s="41">
        <f>'Registru 2022'!AC18</f>
        <v>24</v>
      </c>
      <c r="I16" s="45">
        <f t="shared" si="8"/>
        <v>33.33333333333333</v>
      </c>
      <c r="J16" s="24" t="s">
        <v>57</v>
      </c>
      <c r="K16" s="35">
        <f t="shared" si="6"/>
        <v>12</v>
      </c>
      <c r="L16" s="22">
        <f t="shared" si="9"/>
        <v>4099.999999999999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>
        <f>L16+V16</f>
        <v>4099.999999999999</v>
      </c>
      <c r="X16" s="22">
        <f t="shared" si="0"/>
        <v>12300</v>
      </c>
      <c r="Y16" s="22">
        <f t="shared" si="1"/>
        <v>12300</v>
      </c>
      <c r="Z16" s="86">
        <f t="shared" si="2"/>
        <v>36</v>
      </c>
      <c r="AA16" s="86">
        <f t="shared" si="3"/>
        <v>36</v>
      </c>
      <c r="AB16" s="22">
        <f t="shared" si="4"/>
        <v>12300</v>
      </c>
      <c r="AC16" s="86">
        <f t="shared" si="5"/>
        <v>36</v>
      </c>
      <c r="AD16" s="67">
        <f t="shared" si="7"/>
        <v>9.094947017729282E-13</v>
      </c>
    </row>
    <row r="17" spans="1:30" ht="24">
      <c r="A17" s="86"/>
      <c r="B17" s="18" t="str">
        <f>'[1]Registru 2021'!B21</f>
        <v>Отбойный молоток электрический MAKITA</v>
      </c>
      <c r="C17" s="43">
        <f>'Registru 2022'!X20</f>
        <v>24423</v>
      </c>
      <c r="D17" s="43">
        <f>'Registru 2022'!Y20</f>
        <v>24423</v>
      </c>
      <c r="E17" s="43">
        <f>'Registru 2022'!Z20</f>
        <v>48</v>
      </c>
      <c r="F17" s="43">
        <f>'Registru 2022'!AA20</f>
        <v>48</v>
      </c>
      <c r="G17" s="50">
        <f>'Registru 2022'!AB20</f>
        <v>4070.5</v>
      </c>
      <c r="H17" s="50">
        <f>'Registru 2022'!AC20</f>
        <v>8</v>
      </c>
      <c r="I17" s="45">
        <f>100/F17*12</f>
        <v>25</v>
      </c>
      <c r="J17" s="24" t="s">
        <v>57</v>
      </c>
      <c r="K17" s="35">
        <f t="shared" si="6"/>
        <v>12</v>
      </c>
      <c r="L17" s="22">
        <f>C17*I17*K17/12/100</f>
        <v>6105.75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>
        <f>L17+V17</f>
        <v>6105.75</v>
      </c>
      <c r="X17" s="22">
        <f t="shared" si="0"/>
        <v>24423</v>
      </c>
      <c r="Y17" s="22">
        <f t="shared" si="1"/>
        <v>24423</v>
      </c>
      <c r="Z17" s="86">
        <f t="shared" si="2"/>
        <v>48</v>
      </c>
      <c r="AA17" s="86">
        <f t="shared" si="3"/>
        <v>48</v>
      </c>
      <c r="AB17" s="22">
        <f t="shared" si="4"/>
        <v>10176.25</v>
      </c>
      <c r="AC17" s="86">
        <f t="shared" si="5"/>
        <v>20</v>
      </c>
      <c r="AD17" s="67">
        <f t="shared" si="7"/>
        <v>14246.75</v>
      </c>
    </row>
    <row r="18" spans="1:30" ht="24">
      <c r="A18" s="86"/>
      <c r="B18" s="18" t="str">
        <f>'[1]Registru 2021'!B22</f>
        <v>Вращающийся молоток MAKITA</v>
      </c>
      <c r="C18" s="43">
        <f>'Registru 2022'!X21</f>
        <v>20616</v>
      </c>
      <c r="D18" s="43">
        <f>'Registru 2022'!Y21</f>
        <v>20616</v>
      </c>
      <c r="E18" s="43">
        <f>'Registru 2022'!Z21</f>
        <v>48</v>
      </c>
      <c r="F18" s="43">
        <f>'Registru 2022'!AA21</f>
        <v>48</v>
      </c>
      <c r="G18" s="50">
        <f>'Registru 2022'!AB21</f>
        <v>2577</v>
      </c>
      <c r="H18" s="50">
        <f>'Registru 2022'!AC21</f>
        <v>6</v>
      </c>
      <c r="I18" s="45">
        <f>100/F18*12</f>
        <v>25</v>
      </c>
      <c r="J18" s="24" t="s">
        <v>57</v>
      </c>
      <c r="K18" s="35">
        <f t="shared" si="6"/>
        <v>12</v>
      </c>
      <c r="L18" s="22">
        <f>C18*I18*K18/12/100</f>
        <v>5154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>
        <f>L18+V18</f>
        <v>5154</v>
      </c>
      <c r="X18" s="22">
        <f t="shared" si="0"/>
        <v>20616</v>
      </c>
      <c r="Y18" s="22">
        <f t="shared" si="1"/>
        <v>20616</v>
      </c>
      <c r="Z18" s="86">
        <f t="shared" si="2"/>
        <v>48</v>
      </c>
      <c r="AA18" s="86">
        <f t="shared" si="3"/>
        <v>48</v>
      </c>
      <c r="AB18" s="22">
        <f t="shared" si="4"/>
        <v>7731</v>
      </c>
      <c r="AC18" s="86">
        <f t="shared" si="5"/>
        <v>18</v>
      </c>
      <c r="AD18" s="67">
        <f t="shared" si="7"/>
        <v>12885</v>
      </c>
    </row>
    <row r="19" spans="1:30" ht="14.25" customHeight="1">
      <c r="A19" s="110" t="s">
        <v>68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2"/>
      <c r="AD19" s="67"/>
    </row>
    <row r="20" spans="1:30" ht="22.5" customHeight="1">
      <c r="A20" s="86"/>
      <c r="B20" s="18" t="s">
        <v>114</v>
      </c>
      <c r="C20" s="22">
        <v>208200</v>
      </c>
      <c r="D20" s="22">
        <v>208200</v>
      </c>
      <c r="E20" s="47">
        <v>48</v>
      </c>
      <c r="F20" s="86">
        <f aca="true" t="shared" si="11" ref="F20:F31">E20</f>
        <v>48</v>
      </c>
      <c r="G20" s="21"/>
      <c r="H20" s="21"/>
      <c r="I20" s="34">
        <f aca="true" t="shared" si="12" ref="I20:I31">100/F20*12</f>
        <v>25</v>
      </c>
      <c r="J20" s="24" t="s">
        <v>58</v>
      </c>
      <c r="K20" s="35">
        <f aca="true" t="shared" si="13" ref="K20:K31">12-J20+1</f>
        <v>10</v>
      </c>
      <c r="L20" s="22">
        <f aca="true" t="shared" si="14" ref="L20:L31">C20*I20*K20/12/100</f>
        <v>43375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>
        <f t="shared" si="10"/>
        <v>43375</v>
      </c>
      <c r="X20" s="22">
        <f aca="true" t="shared" si="15" ref="X20:X25">IF(M20&gt;0,R20,C20)</f>
        <v>208200</v>
      </c>
      <c r="Y20" s="22">
        <f aca="true" t="shared" si="16" ref="Y20:Y25">IF(M20&gt;0,D20+M20,D20)</f>
        <v>208200</v>
      </c>
      <c r="Z20" s="86">
        <f aca="true" t="shared" si="17" ref="Z20:Z25">IF(O20&gt;0,O20,E20)</f>
        <v>48</v>
      </c>
      <c r="AA20" s="86">
        <f aca="true" t="shared" si="18" ref="AA20:AA25">IF(S20&gt;0,S20,F20)</f>
        <v>48</v>
      </c>
      <c r="AB20" s="22">
        <f aca="true" t="shared" si="19" ref="AB20:AB25">G20+W20</f>
        <v>43375</v>
      </c>
      <c r="AC20" s="86">
        <f aca="true" t="shared" si="20" ref="AC20:AC25">IF(M20&gt;0,Q20+U20,H20+K20)</f>
        <v>10</v>
      </c>
      <c r="AD20" s="67">
        <f t="shared" si="7"/>
        <v>164825</v>
      </c>
    </row>
    <row r="21" spans="1:30" ht="15" customHeight="1">
      <c r="A21" s="25"/>
      <c r="B21" s="18" t="s">
        <v>115</v>
      </c>
      <c r="C21" s="22">
        <v>12500</v>
      </c>
      <c r="D21" s="22">
        <v>12500</v>
      </c>
      <c r="E21" s="47">
        <v>36</v>
      </c>
      <c r="F21" s="86">
        <f t="shared" si="11"/>
        <v>36</v>
      </c>
      <c r="G21" s="21"/>
      <c r="H21" s="21"/>
      <c r="I21" s="34">
        <f t="shared" si="12"/>
        <v>33.33333333333333</v>
      </c>
      <c r="J21" s="24" t="s">
        <v>59</v>
      </c>
      <c r="K21" s="35">
        <f t="shared" si="13"/>
        <v>7</v>
      </c>
      <c r="L21" s="22">
        <f t="shared" si="14"/>
        <v>2430.555555555555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>
        <f t="shared" si="10"/>
        <v>2430.555555555555</v>
      </c>
      <c r="X21" s="22">
        <f t="shared" si="15"/>
        <v>12500</v>
      </c>
      <c r="Y21" s="22">
        <f t="shared" si="16"/>
        <v>12500</v>
      </c>
      <c r="Z21" s="86">
        <f t="shared" si="17"/>
        <v>36</v>
      </c>
      <c r="AA21" s="86">
        <f t="shared" si="18"/>
        <v>36</v>
      </c>
      <c r="AB21" s="22">
        <f t="shared" si="19"/>
        <v>2430.555555555555</v>
      </c>
      <c r="AC21" s="86">
        <f t="shared" si="20"/>
        <v>7</v>
      </c>
      <c r="AD21" s="67">
        <f t="shared" si="7"/>
        <v>10069.444444444445</v>
      </c>
    </row>
    <row r="22" spans="1:30" ht="24" customHeight="1">
      <c r="A22" s="25"/>
      <c r="B22" s="18" t="s">
        <v>116</v>
      </c>
      <c r="C22" s="22">
        <v>950000</v>
      </c>
      <c r="D22" s="22">
        <v>950000</v>
      </c>
      <c r="E22" s="47">
        <v>144</v>
      </c>
      <c r="F22" s="86">
        <f t="shared" si="11"/>
        <v>144</v>
      </c>
      <c r="G22" s="21"/>
      <c r="H22" s="21"/>
      <c r="I22" s="34">
        <f t="shared" si="12"/>
        <v>8.333333333333332</v>
      </c>
      <c r="J22" s="24" t="s">
        <v>61</v>
      </c>
      <c r="K22" s="35">
        <f t="shared" si="13"/>
        <v>2</v>
      </c>
      <c r="L22" s="22">
        <f t="shared" si="14"/>
        <v>13194.444444444443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>
        <f t="shared" si="10"/>
        <v>13194.444444444443</v>
      </c>
      <c r="X22" s="22">
        <f t="shared" si="15"/>
        <v>950000</v>
      </c>
      <c r="Y22" s="22">
        <f t="shared" si="16"/>
        <v>950000</v>
      </c>
      <c r="Z22" s="86">
        <f t="shared" si="17"/>
        <v>144</v>
      </c>
      <c r="AA22" s="86">
        <f t="shared" si="18"/>
        <v>144</v>
      </c>
      <c r="AB22" s="22">
        <f t="shared" si="19"/>
        <v>13194.444444444443</v>
      </c>
      <c r="AC22" s="86">
        <f t="shared" si="20"/>
        <v>2</v>
      </c>
      <c r="AD22" s="67">
        <f t="shared" si="7"/>
        <v>936805.5555555555</v>
      </c>
    </row>
    <row r="23" spans="1:30" ht="26.25" customHeight="1">
      <c r="A23" s="25"/>
      <c r="B23" s="18" t="s">
        <v>117</v>
      </c>
      <c r="C23" s="22">
        <v>170000</v>
      </c>
      <c r="D23" s="22">
        <v>170000</v>
      </c>
      <c r="E23" s="47">
        <v>108</v>
      </c>
      <c r="F23" s="86">
        <f t="shared" si="11"/>
        <v>108</v>
      </c>
      <c r="G23" s="21"/>
      <c r="H23" s="21"/>
      <c r="I23" s="34">
        <f t="shared" si="12"/>
        <v>11.11111111111111</v>
      </c>
      <c r="J23" s="24" t="s">
        <v>60</v>
      </c>
      <c r="K23" s="35">
        <f t="shared" si="13"/>
        <v>6</v>
      </c>
      <c r="L23" s="22">
        <f t="shared" si="14"/>
        <v>9444.444444444443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>
        <f t="shared" si="10"/>
        <v>9444.444444444443</v>
      </c>
      <c r="X23" s="22">
        <f t="shared" si="15"/>
        <v>170000</v>
      </c>
      <c r="Y23" s="22">
        <f t="shared" si="16"/>
        <v>170000</v>
      </c>
      <c r="Z23" s="86">
        <f t="shared" si="17"/>
        <v>108</v>
      </c>
      <c r="AA23" s="86">
        <f t="shared" si="18"/>
        <v>108</v>
      </c>
      <c r="AB23" s="22">
        <f t="shared" si="19"/>
        <v>9444.444444444443</v>
      </c>
      <c r="AC23" s="86">
        <f t="shared" si="20"/>
        <v>6</v>
      </c>
      <c r="AD23" s="67">
        <f t="shared" si="7"/>
        <v>160555.55555555556</v>
      </c>
    </row>
    <row r="24" spans="1:30" ht="12.75" customHeight="1">
      <c r="A24" s="25"/>
      <c r="B24" s="18" t="s">
        <v>118</v>
      </c>
      <c r="C24" s="22">
        <v>8200000</v>
      </c>
      <c r="D24" s="22">
        <v>8200000</v>
      </c>
      <c r="E24" s="47">
        <v>360</v>
      </c>
      <c r="F24" s="86">
        <f t="shared" si="11"/>
        <v>360</v>
      </c>
      <c r="G24" s="21"/>
      <c r="H24" s="21"/>
      <c r="I24" s="34">
        <f t="shared" si="12"/>
        <v>3.3333333333333335</v>
      </c>
      <c r="J24" s="24" t="s">
        <v>62</v>
      </c>
      <c r="K24" s="35">
        <f t="shared" si="13"/>
        <v>9</v>
      </c>
      <c r="L24" s="22">
        <f t="shared" si="14"/>
        <v>205000.00000000003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>
        <f t="shared" si="10"/>
        <v>205000.00000000003</v>
      </c>
      <c r="X24" s="22">
        <f t="shared" si="15"/>
        <v>8200000</v>
      </c>
      <c r="Y24" s="22">
        <f t="shared" si="16"/>
        <v>8200000</v>
      </c>
      <c r="Z24" s="86">
        <f t="shared" si="17"/>
        <v>360</v>
      </c>
      <c r="AA24" s="86">
        <f t="shared" si="18"/>
        <v>360</v>
      </c>
      <c r="AB24" s="22">
        <f t="shared" si="19"/>
        <v>205000.00000000003</v>
      </c>
      <c r="AC24" s="86">
        <f t="shared" si="20"/>
        <v>9</v>
      </c>
      <c r="AD24" s="67">
        <f t="shared" si="7"/>
        <v>7995000</v>
      </c>
    </row>
    <row r="25" spans="1:30" ht="12.75" customHeight="1">
      <c r="A25" s="25"/>
      <c r="B25" s="18" t="s">
        <v>119</v>
      </c>
      <c r="C25" s="22">
        <v>10120000</v>
      </c>
      <c r="D25" s="22">
        <v>10120000</v>
      </c>
      <c r="E25" s="47">
        <v>300</v>
      </c>
      <c r="F25" s="86">
        <f>E25</f>
        <v>300</v>
      </c>
      <c r="G25" s="21"/>
      <c r="H25" s="21"/>
      <c r="I25" s="34">
        <f>100/F25*12</f>
        <v>4</v>
      </c>
      <c r="J25" s="24" t="s">
        <v>66</v>
      </c>
      <c r="K25" s="35">
        <f>12-J25+1</f>
        <v>5</v>
      </c>
      <c r="L25" s="22">
        <f>C25*I25*K25/12/100</f>
        <v>168666.6666666667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>
        <f>L25+V25</f>
        <v>168666.6666666667</v>
      </c>
      <c r="X25" s="22">
        <f t="shared" si="15"/>
        <v>10120000</v>
      </c>
      <c r="Y25" s="22">
        <f t="shared" si="16"/>
        <v>10120000</v>
      </c>
      <c r="Z25" s="86">
        <f t="shared" si="17"/>
        <v>300</v>
      </c>
      <c r="AA25" s="86">
        <f t="shared" si="18"/>
        <v>300</v>
      </c>
      <c r="AB25" s="22">
        <f t="shared" si="19"/>
        <v>168666.6666666667</v>
      </c>
      <c r="AC25" s="86">
        <f t="shared" si="20"/>
        <v>5</v>
      </c>
      <c r="AD25" s="67">
        <f t="shared" si="7"/>
        <v>9951333.333333334</v>
      </c>
    </row>
    <row r="26" spans="1:30" ht="14.25" customHeight="1">
      <c r="A26" s="110" t="s">
        <v>69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2"/>
      <c r="AD26" s="67"/>
    </row>
    <row r="27" spans="1:30" ht="22.5" customHeight="1">
      <c r="A27" s="85"/>
      <c r="B27" s="55" t="str">
        <f>'[1]Registru 2021'!B25</f>
        <v>Некапитальное строение типа киоск (инвестиции, наем)</v>
      </c>
      <c r="C27" s="22">
        <f>'Registru 2022'!X24</f>
        <v>22000</v>
      </c>
      <c r="D27" s="22">
        <f>'Registru 2022'!Y24</f>
        <v>22000</v>
      </c>
      <c r="E27" s="22">
        <f>'Registru 2022'!Z24</f>
        <v>19</v>
      </c>
      <c r="F27" s="22">
        <f>'Registru 2022'!AA24</f>
        <v>19</v>
      </c>
      <c r="G27" s="22">
        <f>'Registru 2022'!AB24</f>
        <v>9263.157894736843</v>
      </c>
      <c r="H27" s="22">
        <f>'Registru 2022'!AC24</f>
        <v>8</v>
      </c>
      <c r="I27" s="34">
        <f>100/F27*12</f>
        <v>63.15789473684211</v>
      </c>
      <c r="J27" s="24" t="s">
        <v>70</v>
      </c>
      <c r="K27" s="35">
        <f>12-J27+1</f>
        <v>12</v>
      </c>
      <c r="L27" s="22">
        <f>C27*I27*K27/12/100</f>
        <v>13894.736842105265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>
        <f>L27+V27</f>
        <v>13894.736842105265</v>
      </c>
      <c r="X27" s="22">
        <f>IF(M27&gt;0,R27,C27)</f>
        <v>22000</v>
      </c>
      <c r="Y27" s="22">
        <f>IF(M27&gt;0,D27+M27,D27)</f>
        <v>22000</v>
      </c>
      <c r="Z27" s="86">
        <f>IF(O27&gt;0,O27,E27)</f>
        <v>19</v>
      </c>
      <c r="AA27" s="86">
        <f>IF(S27&gt;0,S27,F27)</f>
        <v>19</v>
      </c>
      <c r="AB27" s="22">
        <f>G27+W27</f>
        <v>23157.894736842107</v>
      </c>
      <c r="AC27" s="86">
        <f>IF(M27&gt;0,Q27+U27,H27+K27)</f>
        <v>20</v>
      </c>
      <c r="AD27" s="67">
        <f t="shared" si="7"/>
        <v>0</v>
      </c>
    </row>
    <row r="28" spans="1:30" ht="18.75" customHeight="1">
      <c r="A28" s="85"/>
      <c r="B28" s="100" t="str">
        <f>'[1]Registru 2021'!B26</f>
        <v>Комбинированный холодильник-морозильник с раздельными наружными дверьми (инвестиции, наем)</v>
      </c>
      <c r="C28" s="22">
        <f>'Registru 2022'!X25</f>
        <v>3300</v>
      </c>
      <c r="D28" s="22">
        <f>'Registru 2022'!Y25</f>
        <v>3300</v>
      </c>
      <c r="E28" s="22">
        <f>'Registru 2022'!Z25</f>
        <v>44</v>
      </c>
      <c r="F28" s="22">
        <f>'Registru 2022'!AA25</f>
        <v>44</v>
      </c>
      <c r="G28" s="22">
        <f>'Registru 2022'!AB25</f>
        <v>750</v>
      </c>
      <c r="H28" s="22">
        <f>'Registru 2022'!AC25</f>
        <v>10</v>
      </c>
      <c r="I28" s="34">
        <f>100/F28*12</f>
        <v>27.272727272727273</v>
      </c>
      <c r="J28" s="24" t="s">
        <v>70</v>
      </c>
      <c r="K28" s="35">
        <f>12-J28+1</f>
        <v>12</v>
      </c>
      <c r="L28" s="22">
        <f>C28*I28*K28/12/100</f>
        <v>900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>
        <f>L28+V28</f>
        <v>900</v>
      </c>
      <c r="X28" s="22">
        <f>IF(M28&gt;0,R28,C28)</f>
        <v>3300</v>
      </c>
      <c r="Y28" s="22">
        <f>IF(M28&gt;0,D28+M28,D28)</f>
        <v>3300</v>
      </c>
      <c r="Z28" s="86">
        <f>IF(O28&gt;0,O28,E28)</f>
        <v>44</v>
      </c>
      <c r="AA28" s="86">
        <f>IF(S28&gt;0,S28,F28)</f>
        <v>44</v>
      </c>
      <c r="AB28" s="22">
        <f>G28+W28</f>
        <v>1650</v>
      </c>
      <c r="AC28" s="86">
        <f>IF(M28&gt;0,Q28+U28,H28+K28)</f>
        <v>22</v>
      </c>
      <c r="AD28" s="67">
        <f t="shared" si="7"/>
        <v>1650</v>
      </c>
    </row>
    <row r="29" spans="1:30" ht="23.25" customHeight="1">
      <c r="A29" s="85"/>
      <c r="B29" s="101"/>
      <c r="C29" s="22">
        <f>'Registru 2022'!X26</f>
        <v>5200</v>
      </c>
      <c r="D29" s="22">
        <f>'Registru 2022'!Y26</f>
        <v>5200</v>
      </c>
      <c r="E29" s="22">
        <f>'Registru 2022'!Z26</f>
        <v>36</v>
      </c>
      <c r="F29" s="22">
        <f>'Registru 2022'!AA26</f>
        <v>36</v>
      </c>
      <c r="G29" s="22">
        <f>'Registru 2022'!AB26</f>
        <v>288.88888888888886</v>
      </c>
      <c r="H29" s="22">
        <f>'Registru 2022'!AC26</f>
        <v>2</v>
      </c>
      <c r="I29" s="34">
        <f>100/F29*12</f>
        <v>33.33333333333333</v>
      </c>
      <c r="J29" s="24" t="s">
        <v>70</v>
      </c>
      <c r="K29" s="35">
        <f>12-J29+1</f>
        <v>12</v>
      </c>
      <c r="L29" s="22">
        <f>C29*I29*K29/12/100</f>
        <v>1733.333333333333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2">
        <f>L29+V29</f>
        <v>1733.333333333333</v>
      </c>
      <c r="X29" s="22">
        <f>IF(M29&gt;0,R29,C29)</f>
        <v>5200</v>
      </c>
      <c r="Y29" s="22">
        <f>IF(M29&gt;0,D29+M29,D29)</f>
        <v>5200</v>
      </c>
      <c r="Z29" s="86">
        <f>IF(O29&gt;0,O29,E29)</f>
        <v>36</v>
      </c>
      <c r="AA29" s="86">
        <f>IF(S29&gt;0,S29,F29)</f>
        <v>36</v>
      </c>
      <c r="AB29" s="22">
        <f>G29+W29</f>
        <v>2022.222222222222</v>
      </c>
      <c r="AC29" s="86">
        <f>IF(M29&gt;0,Q29+U29,H29+K29)</f>
        <v>14</v>
      </c>
      <c r="AD29" s="67">
        <f t="shared" si="7"/>
        <v>3177.7777777777783</v>
      </c>
    </row>
    <row r="30" spans="1:30" ht="48" customHeight="1">
      <c r="A30" s="85"/>
      <c r="B30" s="77" t="s">
        <v>111</v>
      </c>
      <c r="C30" s="22">
        <f>'[1]Rep-A'!G7</f>
        <v>11500</v>
      </c>
      <c r="D30" s="22">
        <f>C30</f>
        <v>11500</v>
      </c>
      <c r="E30" s="47">
        <v>26</v>
      </c>
      <c r="F30" s="86">
        <v>26</v>
      </c>
      <c r="G30" s="21"/>
      <c r="H30" s="21"/>
      <c r="I30" s="34">
        <f>100/F30*12</f>
        <v>46.15384615384615</v>
      </c>
      <c r="J30" s="24" t="s">
        <v>61</v>
      </c>
      <c r="K30" s="35">
        <f>12-J30+1</f>
        <v>2</v>
      </c>
      <c r="L30" s="22">
        <f>C30*I30*K30/12/100</f>
        <v>884.6153846153845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>
        <f>L30+V30</f>
        <v>884.6153846153845</v>
      </c>
      <c r="X30" s="22">
        <f>IF(M30&gt;0,R30,C30)</f>
        <v>11500</v>
      </c>
      <c r="Y30" s="22">
        <f>IF(M30&gt;0,D30+M30,D30)</f>
        <v>11500</v>
      </c>
      <c r="Z30" s="86">
        <f>IF(O30&gt;0,O30,E30)</f>
        <v>26</v>
      </c>
      <c r="AA30" s="86">
        <f>IF(S30&gt;0,S30,F30)</f>
        <v>26</v>
      </c>
      <c r="AB30" s="22">
        <f>G30+W30</f>
        <v>884.6153846153845</v>
      </c>
      <c r="AC30" s="86">
        <f>IF(M30&gt;0,Q30+U30,H30+K30)</f>
        <v>2</v>
      </c>
      <c r="AD30" s="67">
        <f t="shared" si="7"/>
        <v>10615.384615384615</v>
      </c>
    </row>
    <row r="31" spans="1:30" ht="14.25">
      <c r="A31" s="85"/>
      <c r="B31" s="78" t="s">
        <v>120</v>
      </c>
      <c r="C31" s="22">
        <v>35000</v>
      </c>
      <c r="D31" s="22">
        <v>35000</v>
      </c>
      <c r="E31" s="47">
        <v>18</v>
      </c>
      <c r="F31" s="86">
        <f t="shared" si="11"/>
        <v>18</v>
      </c>
      <c r="G31" s="21"/>
      <c r="H31" s="21"/>
      <c r="I31" s="34">
        <f t="shared" si="12"/>
        <v>66.66666666666666</v>
      </c>
      <c r="J31" s="24" t="s">
        <v>61</v>
      </c>
      <c r="K31" s="35">
        <f t="shared" si="13"/>
        <v>2</v>
      </c>
      <c r="L31" s="22">
        <f t="shared" si="14"/>
        <v>3888.8888888888882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2">
        <f t="shared" si="10"/>
        <v>3888.8888888888882</v>
      </c>
      <c r="X31" s="22">
        <f>IF(M31&gt;0,R31,C31)</f>
        <v>35000</v>
      </c>
      <c r="Y31" s="22">
        <f>IF(M31&gt;0,D31+M31,D31)</f>
        <v>35000</v>
      </c>
      <c r="Z31" s="86">
        <f>IF(O31&gt;0,O31,E31)</f>
        <v>18</v>
      </c>
      <c r="AA31" s="86">
        <f>IF(S31&gt;0,S31,F31)</f>
        <v>18</v>
      </c>
      <c r="AB31" s="22">
        <f>G31+W31</f>
        <v>3888.8888888888882</v>
      </c>
      <c r="AC31" s="86">
        <f>IF(M31&gt;0,Q31+U31,H31+K31)</f>
        <v>2</v>
      </c>
      <c r="AD31" s="67">
        <f t="shared" si="7"/>
        <v>31111.111111111113</v>
      </c>
    </row>
    <row r="32" spans="1:29" ht="14.25">
      <c r="A32" s="86"/>
      <c r="B32" s="21"/>
      <c r="C32" s="86"/>
      <c r="D32" s="21"/>
      <c r="E32" s="86"/>
      <c r="F32" s="86"/>
      <c r="G32" s="21"/>
      <c r="H32" s="21"/>
      <c r="I32" s="86"/>
      <c r="J32" s="86"/>
      <c r="K32" s="86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86"/>
      <c r="X32" s="86"/>
      <c r="Y32" s="86"/>
      <c r="Z32" s="86"/>
      <c r="AA32" s="86"/>
      <c r="AB32" s="86"/>
      <c r="AC32" s="86"/>
    </row>
    <row r="33" spans="1:29" ht="14.25">
      <c r="A33" s="102" t="s">
        <v>42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38">
        <f>SUM(W7:W32)</f>
        <v>1382856.2262241538</v>
      </c>
      <c r="X33" s="103"/>
      <c r="Y33" s="103"/>
      <c r="Z33" s="103"/>
      <c r="AA33" s="103"/>
      <c r="AB33" s="103"/>
      <c r="AC33" s="103"/>
    </row>
  </sheetData>
  <sheetProtection/>
  <mergeCells count="13">
    <mergeCell ref="T1:V1"/>
    <mergeCell ref="A2:AD2"/>
    <mergeCell ref="A4:L4"/>
    <mergeCell ref="M4:V4"/>
    <mergeCell ref="X12:AC12"/>
    <mergeCell ref="X13:AC13"/>
    <mergeCell ref="X4:AC4"/>
    <mergeCell ref="A19:AC19"/>
    <mergeCell ref="A26:AC26"/>
    <mergeCell ref="B28:B29"/>
    <mergeCell ref="A33:V33"/>
    <mergeCell ref="X33:AC33"/>
    <mergeCell ref="X14:A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6.57421875" style="0" customWidth="1"/>
    <col min="2" max="2" width="25.8515625" style="0" customWidth="1"/>
    <col min="3" max="3" width="14.57421875" style="0" customWidth="1"/>
    <col min="4" max="5" width="13.421875" style="0" customWidth="1"/>
    <col min="6" max="7" width="14.57421875" style="0" customWidth="1"/>
    <col min="8" max="8" width="39.7109375" style="0" customWidth="1"/>
    <col min="9" max="9" width="14.140625" style="0" customWidth="1"/>
  </cols>
  <sheetData>
    <row r="1" spans="7:9" ht="15">
      <c r="G1" s="19" t="s">
        <v>121</v>
      </c>
      <c r="I1" s="19"/>
    </row>
    <row r="2" spans="1:7" ht="44.25" customHeight="1">
      <c r="A2" s="116" t="s">
        <v>146</v>
      </c>
      <c r="B2" s="116"/>
      <c r="C2" s="116"/>
      <c r="D2" s="116"/>
      <c r="E2" s="116"/>
      <c r="F2" s="116"/>
      <c r="G2" s="116"/>
    </row>
    <row r="4" spans="1:8" ht="96.75">
      <c r="A4" s="26" t="s">
        <v>123</v>
      </c>
      <c r="B4" s="26" t="s">
        <v>124</v>
      </c>
      <c r="C4" s="73" t="s">
        <v>125</v>
      </c>
      <c r="D4" s="26" t="s">
        <v>126</v>
      </c>
      <c r="E4" s="26" t="s">
        <v>127</v>
      </c>
      <c r="F4" s="74" t="s">
        <v>128</v>
      </c>
      <c r="G4" s="26" t="s">
        <v>129</v>
      </c>
      <c r="H4" s="26" t="s">
        <v>130</v>
      </c>
    </row>
    <row r="5" spans="1:8" ht="14.25">
      <c r="A5" s="81">
        <v>1</v>
      </c>
      <c r="B5" s="81">
        <v>2</v>
      </c>
      <c r="C5" s="5">
        <v>3</v>
      </c>
      <c r="D5" s="81">
        <v>4</v>
      </c>
      <c r="E5" s="81">
        <v>5</v>
      </c>
      <c r="F5" s="82">
        <v>6</v>
      </c>
      <c r="G5" s="81">
        <v>7</v>
      </c>
      <c r="H5" s="26"/>
    </row>
    <row r="6" spans="1:8" ht="15">
      <c r="A6" s="11">
        <v>1</v>
      </c>
      <c r="B6" s="12" t="s">
        <v>133</v>
      </c>
      <c r="C6" s="51">
        <v>100000</v>
      </c>
      <c r="D6" s="51">
        <f>C6*0.15</f>
        <v>15000</v>
      </c>
      <c r="E6" s="51">
        <v>50000</v>
      </c>
      <c r="F6" s="51">
        <f>MIN(D6,E6)</f>
        <v>15000</v>
      </c>
      <c r="G6" s="51">
        <f>E6-F6</f>
        <v>35000</v>
      </c>
      <c r="H6" s="28"/>
    </row>
    <row r="7" spans="1:8" ht="27">
      <c r="A7" s="11">
        <v>2</v>
      </c>
      <c r="B7" s="12" t="s">
        <v>134</v>
      </c>
      <c r="C7" s="51">
        <v>0</v>
      </c>
      <c r="D7" s="51">
        <f>C7*0.15</f>
        <v>0</v>
      </c>
      <c r="E7" s="51">
        <v>7000</v>
      </c>
      <c r="F7" s="51">
        <v>7000</v>
      </c>
      <c r="G7" s="51">
        <f>E7-F7</f>
        <v>0</v>
      </c>
      <c r="H7" s="28" t="s">
        <v>135</v>
      </c>
    </row>
    <row r="8" spans="1:8" ht="53.25">
      <c r="A8" s="11">
        <v>3</v>
      </c>
      <c r="B8" s="75" t="s">
        <v>136</v>
      </c>
      <c r="C8" s="51">
        <v>50000</v>
      </c>
      <c r="D8" s="51">
        <f>C8*0.15</f>
        <v>7500</v>
      </c>
      <c r="E8" s="51">
        <v>19000</v>
      </c>
      <c r="F8" s="51">
        <f>MIN(D8,E8)</f>
        <v>7500</v>
      </c>
      <c r="G8" s="51">
        <f>E8-F8</f>
        <v>11500</v>
      </c>
      <c r="H8" s="28"/>
    </row>
    <row r="9" spans="1:8" ht="15">
      <c r="A9" s="29"/>
      <c r="B9" s="39" t="s">
        <v>27</v>
      </c>
      <c r="C9" s="76">
        <f>SUM(C6:C8)</f>
        <v>150000</v>
      </c>
      <c r="D9" s="76">
        <f>SUM(D6:D8)</f>
        <v>22500</v>
      </c>
      <c r="E9" s="76">
        <f>SUM(E6:E8)</f>
        <v>76000</v>
      </c>
      <c r="F9" s="76">
        <f>SUM(F6:F8)</f>
        <v>29500</v>
      </c>
      <c r="G9" s="76">
        <f>SUM(G6:G8)</f>
        <v>46500</v>
      </c>
      <c r="H9" s="40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="115" zoomScaleNormal="115" zoomScalePageLayoutView="0" workbookViewId="0" topLeftCell="A1">
      <selection activeCell="A2" sqref="A2:H2"/>
    </sheetView>
  </sheetViews>
  <sheetFormatPr defaultColWidth="9.140625" defaultRowHeight="15"/>
  <cols>
    <col min="1" max="1" width="6.57421875" style="0" customWidth="1"/>
    <col min="2" max="2" width="25.8515625" style="0" customWidth="1"/>
    <col min="3" max="3" width="11.28125" style="0" customWidth="1"/>
    <col min="4" max="4" width="14.57421875" style="0" customWidth="1"/>
    <col min="5" max="6" width="13.421875" style="0" customWidth="1"/>
    <col min="7" max="9" width="14.57421875" style="0" customWidth="1"/>
    <col min="10" max="10" width="14.140625" style="0" customWidth="1"/>
  </cols>
  <sheetData>
    <row r="1" spans="8:10" ht="15">
      <c r="H1" s="19" t="s">
        <v>143</v>
      </c>
      <c r="J1" s="19"/>
    </row>
    <row r="2" spans="1:8" ht="33" customHeight="1">
      <c r="A2" s="116" t="s">
        <v>122</v>
      </c>
      <c r="B2" s="116"/>
      <c r="C2" s="116"/>
      <c r="D2" s="116"/>
      <c r="E2" s="116"/>
      <c r="F2" s="116"/>
      <c r="G2" s="116"/>
      <c r="H2" s="116"/>
    </row>
    <row r="4" spans="1:8" ht="96.75">
      <c r="A4" s="26" t="s">
        <v>123</v>
      </c>
      <c r="B4" s="26" t="s">
        <v>124</v>
      </c>
      <c r="C4" s="26" t="s">
        <v>131</v>
      </c>
      <c r="D4" s="73" t="s">
        <v>132</v>
      </c>
      <c r="E4" s="26" t="s">
        <v>126</v>
      </c>
      <c r="F4" s="26" t="s">
        <v>127</v>
      </c>
      <c r="G4" s="74" t="s">
        <v>128</v>
      </c>
      <c r="H4" s="26" t="s">
        <v>129</v>
      </c>
    </row>
    <row r="5" spans="1:8" s="27" customFormat="1" ht="12">
      <c r="A5" s="5">
        <v>1</v>
      </c>
      <c r="B5" s="5">
        <v>2</v>
      </c>
      <c r="C5" s="5"/>
      <c r="D5" s="5">
        <v>3</v>
      </c>
      <c r="E5" s="5" t="s">
        <v>63</v>
      </c>
      <c r="F5" s="5">
        <v>5</v>
      </c>
      <c r="G5" s="5">
        <v>6</v>
      </c>
      <c r="H5" s="5" t="s">
        <v>64</v>
      </c>
    </row>
    <row r="6" spans="1:8" ht="15">
      <c r="A6" s="49">
        <v>1</v>
      </c>
      <c r="B6" s="12" t="s">
        <v>133</v>
      </c>
      <c r="C6" s="12" t="s">
        <v>137</v>
      </c>
      <c r="D6" s="51">
        <v>100000</v>
      </c>
      <c r="E6" s="51">
        <f>D6*0.15</f>
        <v>15000</v>
      </c>
      <c r="F6" s="51">
        <v>50000</v>
      </c>
      <c r="G6" s="51">
        <f>MIN(E6,F6)</f>
        <v>15000</v>
      </c>
      <c r="H6" s="51">
        <f>F6-G6</f>
        <v>35000</v>
      </c>
    </row>
    <row r="7" spans="1:8" ht="15">
      <c r="A7" s="11">
        <v>2</v>
      </c>
      <c r="B7" s="12" t="s">
        <v>134</v>
      </c>
      <c r="C7" s="12" t="s">
        <v>138</v>
      </c>
      <c r="D7" s="51">
        <v>0</v>
      </c>
      <c r="E7" s="51">
        <f>D7*0.15</f>
        <v>0</v>
      </c>
      <c r="F7" s="51">
        <v>7000</v>
      </c>
      <c r="G7" s="51">
        <v>7000</v>
      </c>
      <c r="H7" s="51">
        <f>F7-G7</f>
        <v>0</v>
      </c>
    </row>
    <row r="8" spans="1:8" ht="27.75" customHeight="1">
      <c r="A8" s="120">
        <v>3</v>
      </c>
      <c r="B8" s="117" t="s">
        <v>136</v>
      </c>
      <c r="C8" s="12" t="s">
        <v>139</v>
      </c>
      <c r="D8" s="51">
        <v>50000</v>
      </c>
      <c r="E8" s="51">
        <f>D8*0.15</f>
        <v>7500</v>
      </c>
      <c r="F8" s="51">
        <v>10000</v>
      </c>
      <c r="G8" s="51">
        <f>MIN(E8,F8)</f>
        <v>7500</v>
      </c>
      <c r="H8" s="51">
        <f>F8-G8</f>
        <v>2500</v>
      </c>
    </row>
    <row r="9" spans="1:8" ht="15">
      <c r="A9" s="121"/>
      <c r="B9" s="118"/>
      <c r="C9" s="12" t="s">
        <v>140</v>
      </c>
      <c r="D9" s="51"/>
      <c r="E9" s="51">
        <v>0</v>
      </c>
      <c r="F9" s="51">
        <v>2000</v>
      </c>
      <c r="G9" s="51">
        <f>MIN(E9,F9)</f>
        <v>0</v>
      </c>
      <c r="H9" s="51">
        <f>F9-G9</f>
        <v>2000</v>
      </c>
    </row>
    <row r="10" spans="1:8" ht="15">
      <c r="A10" s="122"/>
      <c r="B10" s="119"/>
      <c r="C10" s="12" t="s">
        <v>141</v>
      </c>
      <c r="D10" s="51"/>
      <c r="E10" s="51">
        <v>0</v>
      </c>
      <c r="F10" s="51">
        <v>7000</v>
      </c>
      <c r="G10" s="51">
        <f>MIN(E10,F10)</f>
        <v>0</v>
      </c>
      <c r="H10" s="51">
        <f>F10-G10</f>
        <v>7000</v>
      </c>
    </row>
    <row r="11" spans="1:8" s="33" customFormat="1" ht="15.75">
      <c r="A11" s="31"/>
      <c r="B11" s="32" t="s">
        <v>142</v>
      </c>
      <c r="C11" s="30"/>
      <c r="D11" s="52">
        <f>SUM(D8:D10)</f>
        <v>50000</v>
      </c>
      <c r="E11" s="52">
        <f>SUM(E8:E10)</f>
        <v>7500</v>
      </c>
      <c r="F11" s="52">
        <f>SUM(F8:F10)</f>
        <v>19000</v>
      </c>
      <c r="G11" s="52">
        <f>SUM(G8:G10)</f>
        <v>7500</v>
      </c>
      <c r="H11" s="52">
        <f>SUM(H8:H10)</f>
        <v>11500</v>
      </c>
    </row>
    <row r="12" spans="1:8" ht="14.25">
      <c r="A12" s="29"/>
      <c r="B12" s="6" t="s">
        <v>27</v>
      </c>
      <c r="C12" s="29"/>
      <c r="D12" s="53">
        <f>D6+D7+D11</f>
        <v>150000</v>
      </c>
      <c r="E12" s="53">
        <f>E6+E7+E11</f>
        <v>22500</v>
      </c>
      <c r="F12" s="53">
        <f>F6+F7+F11</f>
        <v>76000</v>
      </c>
      <c r="G12" s="53">
        <f>G6+G7+G11</f>
        <v>29500</v>
      </c>
      <c r="H12" s="53">
        <f>H6+H7+H11</f>
        <v>46500</v>
      </c>
    </row>
  </sheetData>
  <sheetProtection/>
  <mergeCells count="3">
    <mergeCell ref="A2:H2"/>
    <mergeCell ref="B8:B10"/>
    <mergeCell ref="A8:A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SSlobodeanu</cp:lastModifiedBy>
  <cp:lastPrinted>2020-01-10T20:38:20Z</cp:lastPrinted>
  <dcterms:created xsi:type="dcterms:W3CDTF">2018-11-04T13:40:30Z</dcterms:created>
  <dcterms:modified xsi:type="dcterms:W3CDTF">2024-01-08T19:09:08Z</dcterms:modified>
  <cp:category/>
  <cp:version/>
  <cp:contentType/>
  <cp:contentStatus/>
</cp:coreProperties>
</file>